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inDenis\Desktop\Собрания собственников\Тюляева 8\скан\"/>
    </mc:Choice>
  </mc:AlternateContent>
  <bookViews>
    <workbookView xWindow="-120" yWindow="-120" windowWidth="29040" windowHeight="15840"/>
  </bookViews>
  <sheets>
    <sheet name="Тюляева 8" sheetId="2" r:id="rId1"/>
  </sheets>
  <definedNames>
    <definedName name="_xlnm.Print_Titles" localSheetId="0">'Тюляева 8'!$16:$16</definedName>
    <definedName name="_xlnm.Print_Area" localSheetId="0">'Тюляева 8'!$A$1:$I$146</definedName>
  </definedNames>
  <calcPr calcId="152511"/>
</workbook>
</file>

<file path=xl/calcChain.xml><?xml version="1.0" encoding="utf-8"?>
<calcChain xmlns="http://schemas.openxmlformats.org/spreadsheetml/2006/main">
  <c r="K138" i="2" l="1"/>
  <c r="Q131" i="2" l="1"/>
  <c r="F132" i="2" l="1"/>
  <c r="H132" i="2" s="1"/>
  <c r="I132" i="2" s="1"/>
  <c r="F36" i="2" l="1"/>
  <c r="H36" i="2" s="1"/>
  <c r="I36" i="2" s="1"/>
  <c r="F37" i="2"/>
  <c r="H37" i="2" s="1"/>
  <c r="I37" i="2" s="1"/>
  <c r="F35" i="2"/>
  <c r="H35" i="2" s="1"/>
  <c r="I35" i="2" s="1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M135" i="2"/>
  <c r="L135" i="2"/>
  <c r="S132" i="2"/>
  <c r="Q132" i="2"/>
  <c r="S131" i="2"/>
  <c r="S130" i="2"/>
  <c r="Q130" i="2"/>
  <c r="S129" i="2"/>
  <c r="Q129" i="2"/>
  <c r="S128" i="2"/>
  <c r="Q128" i="2"/>
  <c r="F128" i="2"/>
  <c r="H128" i="2" s="1"/>
  <c r="K127" i="2"/>
  <c r="D118" i="2"/>
  <c r="D119" i="2"/>
  <c r="D120" i="2"/>
  <c r="D123" i="2"/>
  <c r="D129" i="2" s="1"/>
  <c r="F129" i="2" s="1"/>
  <c r="H129" i="2" s="1"/>
  <c r="I123" i="2"/>
  <c r="I129" i="2" l="1"/>
  <c r="D130" i="2"/>
  <c r="F130" i="2" s="1"/>
  <c r="H130" i="2" s="1"/>
  <c r="I130" i="2" s="1"/>
  <c r="I128" i="2"/>
  <c r="J126" i="2"/>
  <c r="H100" i="2"/>
  <c r="I100" i="2" s="1"/>
  <c r="I124" i="2"/>
  <c r="D131" i="2" l="1"/>
  <c r="N126" i="2"/>
  <c r="N135" i="2" s="1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10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9" i="2"/>
  <c r="F131" i="2" l="1"/>
  <c r="H131" i="2" s="1"/>
  <c r="D133" i="2"/>
  <c r="F133" i="2" s="1"/>
  <c r="H133" i="2" s="1"/>
  <c r="I133" i="2" s="1"/>
  <c r="F124" i="2"/>
  <c r="F123" i="2"/>
  <c r="F122" i="2"/>
  <c r="H122" i="2" s="1"/>
  <c r="I122" i="2" s="1"/>
  <c r="F121" i="2"/>
  <c r="H121" i="2" s="1"/>
  <c r="I121" i="2" s="1"/>
  <c r="F120" i="2"/>
  <c r="H120" i="2" s="1"/>
  <c r="F119" i="2"/>
  <c r="H119" i="2" s="1"/>
  <c r="I119" i="2" s="1"/>
  <c r="F118" i="2"/>
  <c r="H118" i="2" s="1"/>
  <c r="I118" i="2" s="1"/>
  <c r="F117" i="2"/>
  <c r="H117" i="2" s="1"/>
  <c r="I117" i="2" s="1"/>
  <c r="F116" i="2"/>
  <c r="H116" i="2" s="1"/>
  <c r="I116" i="2" s="1"/>
  <c r="F115" i="2"/>
  <c r="H115" i="2" s="1"/>
  <c r="I115" i="2" s="1"/>
  <c r="F114" i="2"/>
  <c r="H114" i="2" s="1"/>
  <c r="I114" i="2" s="1"/>
  <c r="F113" i="2"/>
  <c r="H113" i="2" s="1"/>
  <c r="I113" i="2" s="1"/>
  <c r="F112" i="2"/>
  <c r="H112" i="2" s="1"/>
  <c r="I112" i="2" s="1"/>
  <c r="F111" i="2"/>
  <c r="H111" i="2" s="1"/>
  <c r="I111" i="2" s="1"/>
  <c r="F110" i="2"/>
  <c r="H110" i="2" s="1"/>
  <c r="I110" i="2" s="1"/>
  <c r="D107" i="2"/>
  <c r="F107" i="2" s="1"/>
  <c r="H107" i="2" s="1"/>
  <c r="I107" i="2" s="1"/>
  <c r="D106" i="2"/>
  <c r="F106" i="2" s="1"/>
  <c r="H106" i="2" s="1"/>
  <c r="I106" i="2" s="1"/>
  <c r="D105" i="2"/>
  <c r="F105" i="2" s="1"/>
  <c r="H105" i="2" s="1"/>
  <c r="I105" i="2" s="1"/>
  <c r="F104" i="2"/>
  <c r="H104" i="2" s="1"/>
  <c r="I104" i="2" s="1"/>
  <c r="F103" i="2"/>
  <c r="H103" i="2" s="1"/>
  <c r="I103" i="2" s="1"/>
  <c r="D102" i="2"/>
  <c r="F102" i="2" s="1"/>
  <c r="H102" i="2" s="1"/>
  <c r="I102" i="2" s="1"/>
  <c r="D100" i="2"/>
  <c r="D99" i="2"/>
  <c r="F99" i="2" s="1"/>
  <c r="H99" i="2" s="1"/>
  <c r="I99" i="2" s="1"/>
  <c r="F96" i="2"/>
  <c r="H96" i="2" s="1"/>
  <c r="I96" i="2" s="1"/>
  <c r="F95" i="2"/>
  <c r="H95" i="2" s="1"/>
  <c r="I95" i="2" s="1"/>
  <c r="F94" i="2"/>
  <c r="H94" i="2" s="1"/>
  <c r="I94" i="2" s="1"/>
  <c r="F93" i="2"/>
  <c r="H93" i="2" s="1"/>
  <c r="I93" i="2" s="1"/>
  <c r="F92" i="2"/>
  <c r="H92" i="2" s="1"/>
  <c r="I92" i="2" s="1"/>
  <c r="D91" i="2"/>
  <c r="F91" i="2" s="1"/>
  <c r="H91" i="2" s="1"/>
  <c r="I91" i="2" s="1"/>
  <c r="D90" i="2"/>
  <c r="F90" i="2" s="1"/>
  <c r="H90" i="2" s="1"/>
  <c r="I90" i="2" s="1"/>
  <c r="F89" i="2"/>
  <c r="H89" i="2" s="1"/>
  <c r="I89" i="2" s="1"/>
  <c r="D88" i="2"/>
  <c r="F88" i="2" s="1"/>
  <c r="H88" i="2" s="1"/>
  <c r="I88" i="2" s="1"/>
  <c r="F87" i="2"/>
  <c r="H87" i="2" s="1"/>
  <c r="I87" i="2" s="1"/>
  <c r="F86" i="2"/>
  <c r="H86" i="2" s="1"/>
  <c r="I86" i="2" s="1"/>
  <c r="F84" i="2"/>
  <c r="H84" i="2" s="1"/>
  <c r="I84" i="2" s="1"/>
  <c r="F83" i="2"/>
  <c r="H83" i="2" s="1"/>
  <c r="I83" i="2" s="1"/>
  <c r="D81" i="2"/>
  <c r="F81" i="2" s="1"/>
  <c r="H81" i="2" s="1"/>
  <c r="I81" i="2" s="1"/>
  <c r="F80" i="2"/>
  <c r="H80" i="2" s="1"/>
  <c r="I80" i="2" s="1"/>
  <c r="F79" i="2"/>
  <c r="H79" i="2" s="1"/>
  <c r="I79" i="2" s="1"/>
  <c r="F78" i="2"/>
  <c r="H78" i="2" s="1"/>
  <c r="I78" i="2" s="1"/>
  <c r="F77" i="2"/>
  <c r="H77" i="2" s="1"/>
  <c r="I77" i="2" s="1"/>
  <c r="F76" i="2"/>
  <c r="H76" i="2" s="1"/>
  <c r="I76" i="2" s="1"/>
  <c r="F74" i="2"/>
  <c r="H74" i="2" s="1"/>
  <c r="I74" i="2" s="1"/>
  <c r="F73" i="2"/>
  <c r="H73" i="2" s="1"/>
  <c r="I73" i="2" s="1"/>
  <c r="D72" i="2"/>
  <c r="F72" i="2" s="1"/>
  <c r="H72" i="2" s="1"/>
  <c r="I72" i="2" s="1"/>
  <c r="D71" i="2"/>
  <c r="F71" i="2" s="1"/>
  <c r="H71" i="2" s="1"/>
  <c r="I71" i="2" s="1"/>
  <c r="F70" i="2"/>
  <c r="H70" i="2" s="1"/>
  <c r="I70" i="2" s="1"/>
  <c r="F69" i="2"/>
  <c r="H69" i="2" s="1"/>
  <c r="I69" i="2" s="1"/>
  <c r="F68" i="2"/>
  <c r="H68" i="2" s="1"/>
  <c r="I68" i="2" s="1"/>
  <c r="D67" i="2"/>
  <c r="F67" i="2" s="1"/>
  <c r="H67" i="2" s="1"/>
  <c r="F63" i="2"/>
  <c r="H63" i="2" s="1"/>
  <c r="I63" i="2" s="1"/>
  <c r="F62" i="2"/>
  <c r="H62" i="2" s="1"/>
  <c r="I62" i="2" s="1"/>
  <c r="D61" i="2"/>
  <c r="F61" i="2" s="1"/>
  <c r="H61" i="2" s="1"/>
  <c r="I61" i="2" s="1"/>
  <c r="F60" i="2"/>
  <c r="H60" i="2" s="1"/>
  <c r="I60" i="2" s="1"/>
  <c r="F58" i="2"/>
  <c r="H58" i="2" s="1"/>
  <c r="I58" i="2" s="1"/>
  <c r="D57" i="2"/>
  <c r="F57" i="2" s="1"/>
  <c r="H57" i="2" s="1"/>
  <c r="I57" i="2" s="1"/>
  <c r="F56" i="2"/>
  <c r="H56" i="2" s="1"/>
  <c r="D52" i="2"/>
  <c r="F52" i="2" s="1"/>
  <c r="H52" i="2" s="1"/>
  <c r="I52" i="2" s="1"/>
  <c r="F50" i="2"/>
  <c r="H50" i="2" s="1"/>
  <c r="I50" i="2" s="1"/>
  <c r="D49" i="2"/>
  <c r="F49" i="2" s="1"/>
  <c r="H49" i="2" s="1"/>
  <c r="I49" i="2" s="1"/>
  <c r="D48" i="2"/>
  <c r="F48" i="2" s="1"/>
  <c r="H48" i="2" s="1"/>
  <c r="I48" i="2" s="1"/>
  <c r="D47" i="2"/>
  <c r="F47" i="2" s="1"/>
  <c r="H47" i="2" s="1"/>
  <c r="I47" i="2" s="1"/>
  <c r="D46" i="2"/>
  <c r="F46" i="2" s="1"/>
  <c r="H46" i="2" s="1"/>
  <c r="I46" i="2" s="1"/>
  <c r="D45" i="2"/>
  <c r="F45" i="2" s="1"/>
  <c r="H45" i="2" s="1"/>
  <c r="I45" i="2" s="1"/>
  <c r="D44" i="2"/>
  <c r="F44" i="2" s="1"/>
  <c r="H44" i="2" s="1"/>
  <c r="I44" i="2" s="1"/>
  <c r="D43" i="2"/>
  <c r="F43" i="2" s="1"/>
  <c r="H43" i="2" s="1"/>
  <c r="I43" i="2" s="1"/>
  <c r="F42" i="2"/>
  <c r="H42" i="2" s="1"/>
  <c r="I42" i="2" s="1"/>
  <c r="F41" i="2"/>
  <c r="H41" i="2" s="1"/>
  <c r="F34" i="2"/>
  <c r="H34" i="2" s="1"/>
  <c r="I34" i="2" s="1"/>
  <c r="F31" i="2"/>
  <c r="H31" i="2" s="1"/>
  <c r="I31" i="2" s="1"/>
  <c r="F30" i="2"/>
  <c r="H30" i="2" s="1"/>
  <c r="I30" i="2" s="1"/>
  <c r="F29" i="2"/>
  <c r="H29" i="2" s="1"/>
  <c r="I29" i="2" s="1"/>
  <c r="F28" i="2"/>
  <c r="H28" i="2" s="1"/>
  <c r="I28" i="2" s="1"/>
  <c r="D27" i="2"/>
  <c r="F27" i="2" s="1"/>
  <c r="H27" i="2" s="1"/>
  <c r="I27" i="2" s="1"/>
  <c r="D26" i="2"/>
  <c r="F26" i="2" s="1"/>
  <c r="H26" i="2" s="1"/>
  <c r="I26" i="2" s="1"/>
  <c r="F24" i="2"/>
  <c r="H24" i="2" s="1"/>
  <c r="I24" i="2" s="1"/>
  <c r="F23" i="2"/>
  <c r="H23" i="2" s="1"/>
  <c r="I23" i="2" s="1"/>
  <c r="F22" i="2"/>
  <c r="H22" i="2" s="1"/>
  <c r="I22" i="2" s="1"/>
  <c r="F21" i="2"/>
  <c r="H21" i="2" s="1"/>
  <c r="I21" i="2" s="1"/>
  <c r="F20" i="2"/>
  <c r="H20" i="2" s="1"/>
  <c r="I20" i="2" s="1"/>
  <c r="D19" i="2"/>
  <c r="F19" i="2" s="1"/>
  <c r="H19" i="2" s="1"/>
  <c r="I19" i="2" s="1"/>
  <c r="I131" i="2" l="1"/>
  <c r="I134" i="2" s="1"/>
  <c r="H134" i="2"/>
  <c r="I67" i="2"/>
  <c r="I108" i="2" s="1"/>
  <c r="K108" i="2" s="1"/>
  <c r="H108" i="2"/>
  <c r="I56" i="2"/>
  <c r="I64" i="2" s="1"/>
  <c r="K64" i="2" s="1"/>
  <c r="H64" i="2"/>
  <c r="I41" i="2"/>
  <c r="I53" i="2" s="1"/>
  <c r="K53" i="2" s="1"/>
  <c r="H53" i="2"/>
  <c r="I120" i="2"/>
  <c r="I125" i="2" s="1"/>
  <c r="H125" i="2"/>
  <c r="D32" i="2"/>
  <c r="F32" i="2" s="1"/>
  <c r="H32" i="2" s="1"/>
  <c r="I32" i="2" s="1"/>
  <c r="D25" i="2"/>
  <c r="F25" i="2" s="1"/>
  <c r="H25" i="2" s="1"/>
  <c r="I25" i="2" s="1"/>
  <c r="J133" i="2" l="1"/>
  <c r="J135" i="2" s="1"/>
  <c r="I38" i="2"/>
  <c r="I126" i="2" s="1"/>
  <c r="I135" i="2" s="1"/>
  <c r="I141" i="2" s="1"/>
  <c r="H38" i="2"/>
  <c r="H126" i="2" s="1"/>
  <c r="H135" i="2" s="1"/>
  <c r="K125" i="2"/>
  <c r="K38" i="2" l="1"/>
  <c r="K126" i="2"/>
</calcChain>
</file>

<file path=xl/sharedStrings.xml><?xml version="1.0" encoding="utf-8"?>
<sst xmlns="http://schemas.openxmlformats.org/spreadsheetml/2006/main" count="244" uniqueCount="163">
  <si>
    <t>Общество с ограниченной ответственностью "Управляющая компания ЮРСК СЕРВИС"</t>
  </si>
  <si>
    <t xml:space="preserve">Плановый перечень услуг и работ по содержанию общего имущества </t>
  </si>
  <si>
    <t xml:space="preserve">                     Характеристика дома:</t>
  </si>
  <si>
    <t>этажность</t>
  </si>
  <si>
    <t>подъезды</t>
  </si>
  <si>
    <t>количество квартир и нежилых помещений</t>
  </si>
  <si>
    <t xml:space="preserve">обслуживаемая площадь </t>
  </si>
  <si>
    <t>категория</t>
  </si>
  <si>
    <t>благоустр. с лифтом без мусоропровода</t>
  </si>
  <si>
    <t>№ п/п</t>
  </si>
  <si>
    <t>Наименование работ и элементов затрат по содержанию многоквартирного дома</t>
  </si>
  <si>
    <t>Единица измерения</t>
  </si>
  <si>
    <t>Объем  выполняемых   работ</t>
  </si>
  <si>
    <t>Периодичность работ</t>
  </si>
  <si>
    <t>Объем работ с учетом периодичности</t>
  </si>
  <si>
    <t>Расценка  на  единицу измерения</t>
  </si>
  <si>
    <t>Итого стоимость работ в год, руб.</t>
  </si>
  <si>
    <t>Размер платы на 1 м2  площади в месяц, руб.</t>
  </si>
  <si>
    <t>РАБОТЫ ПО БЛАГОУСТРОЙСТВУ ТЕРРИТОРИИ</t>
  </si>
  <si>
    <t>УБОРКА ПРИДОМОВОЙ ТЕРРИТОРИИ</t>
  </si>
  <si>
    <t>Подметание территории с усовершенствованным покрытием (асфальт)</t>
  </si>
  <si>
    <t>1 кв м</t>
  </si>
  <si>
    <t>Подметание территории  с неусовершенствованным покрытием (щебень)</t>
  </si>
  <si>
    <t>Очистка урн от мусора</t>
  </si>
  <si>
    <t>шт</t>
  </si>
  <si>
    <t>Промывка урн вручную</t>
  </si>
  <si>
    <t>Уборка газонов от случайного мусора,средней засоренности</t>
  </si>
  <si>
    <t>Уборка газонов от листьев и сучьев во время листопада</t>
  </si>
  <si>
    <t>Погрузка и вывоз крупногабаритного мусора (снег, листва)</t>
  </si>
  <si>
    <t>1м3 на 1 т м2 убир площади</t>
  </si>
  <si>
    <t>Подметание ступеней и площадок перед входом в подъезд</t>
  </si>
  <si>
    <t>Подметание снега на ступенях и площадках перед входом в подъезд</t>
  </si>
  <si>
    <t>Подметание свежевыпавшего снега толщиной до 2 см</t>
  </si>
  <si>
    <t>Сдвигание свежевыпавшего снега толщиной более 2см.</t>
  </si>
  <si>
    <t>Посыпка пешеходных дорожек песком во время гололеда</t>
  </si>
  <si>
    <t>Заполнение песочницы песком</t>
  </si>
  <si>
    <t>1 песочница</t>
  </si>
  <si>
    <t>Ремонт аттракционов на детской площадке,  покраска лавочек бордюров и др. работы на придомовой территории</t>
  </si>
  <si>
    <t>УХОД ЗА ЗЕЛЕНЫМИ НАСАЖДЕНИЯМИ</t>
  </si>
  <si>
    <t>Полив газонов из шланга</t>
  </si>
  <si>
    <t>ИТОГО</t>
  </si>
  <si>
    <t>РАБОТЫ ПО САНИТАРНОМУ СОДЕРЖАНИЮ ПОМЕЩЕНИЙ, ВХОДЯЩИХ В СОСТАВ ОБЩЕГО ИМУЩЕСТВА МКД</t>
  </si>
  <si>
    <t>УБОРКА ЛИФТОВ И ЛЕСТНИЧНЫХ КЛЕТОК</t>
  </si>
  <si>
    <t>Подметание пола кабины лифта с предварительным увлажнением</t>
  </si>
  <si>
    <t xml:space="preserve">Мытье пола кабины лифта </t>
  </si>
  <si>
    <t>Влажная протирка стен, дверей, плафонов и потолков кабины лифта</t>
  </si>
  <si>
    <t xml:space="preserve">Мытье пластиковых окон </t>
  </si>
  <si>
    <t>Влажное подметание лестничных площадок и маршей (в т.ч. балконов, коридоров, лифтовых холлов) нижних трех этажей</t>
  </si>
  <si>
    <t>Влажное подметание лестничных площадок и маршей (в т.ч. балконов, коридоров, лифтовых холлов) выше третьего этажа</t>
  </si>
  <si>
    <t>Мытье коридора,  лестничной площадки  и марша 1 этажа</t>
  </si>
  <si>
    <t>Мытье коридоров,  лестничных площадок и маршей выше 2-го  этажа</t>
  </si>
  <si>
    <t>Мытье ступеней и площадок перед входом в подъезд</t>
  </si>
  <si>
    <t>Обметание пыли с потолков</t>
  </si>
  <si>
    <t>ВЛАЖНАЯ ПРОТИРКА ЭЛЕМЕНТОВ ЛЕСТНИЧНЫХ КЛЕТОК:</t>
  </si>
  <si>
    <t xml:space="preserve"> дверей, перил и электрощитков</t>
  </si>
  <si>
    <t>РАБОТЫ ПО СОДЕРЖАНИЮ И РЕМОНТУ КОНСТРУКТИВНЫХ ЭЛЕМЕНТОВ МКД</t>
  </si>
  <si>
    <t>КРОВЕЛЬНЫЕ РАБОТЫ СОДЕРЖАНИЕ ПОДВАЛОВ, ЧЕРДАКОВ, ПОДЪЕЗДОВ, КРЫШ</t>
  </si>
  <si>
    <t>Постановка заплат на покрытие из мягкой кровли</t>
  </si>
  <si>
    <t>Очистка технического этажа и кровли от мусора</t>
  </si>
  <si>
    <t>Осмотр кровель</t>
  </si>
  <si>
    <t>СТОЛЯРНО –ПЛОТНИЧНЫЕ РАБОТЫ</t>
  </si>
  <si>
    <t>Смена стекол в оконных и дверных переплетах в МОП</t>
  </si>
  <si>
    <t>Смена замков навесных ( в том числе электрощитки)</t>
  </si>
  <si>
    <t>Смена замков врезных</t>
  </si>
  <si>
    <t>Замена дверных ручек</t>
  </si>
  <si>
    <t>РАБОТЫ ПО СОДЕРЖАНИЮ И РЕМОНТУ ОБОРУДОВАНИЯ И СИСТЕМ ИНЖЕНЕРНО-ТЕХНИЧЕСКОГО ОБЕСПЕЧЕНИЯ, ВХОДЯЩЕГО В СОСТАВ  МКД</t>
  </si>
  <si>
    <t>ОТОПЛЕНИЕ</t>
  </si>
  <si>
    <t>Промывка системы центрального отопления</t>
  </si>
  <si>
    <t xml:space="preserve">    100 куб       Q здания</t>
  </si>
  <si>
    <t>Первое рабочее испытание отдельных частей системы центрального отопл.</t>
  </si>
  <si>
    <t>100 м</t>
  </si>
  <si>
    <t>Проверка системы при сдаче</t>
  </si>
  <si>
    <t>Рабочая проверка системы в целом</t>
  </si>
  <si>
    <t>Ликвидация воздушных пробок в стояке системы отопления</t>
  </si>
  <si>
    <t>1 стояк</t>
  </si>
  <si>
    <t>Установка автовоздушников d 15 мм</t>
  </si>
  <si>
    <t>Смена кранов шаровых Ду 15</t>
  </si>
  <si>
    <t>1 кран</t>
  </si>
  <si>
    <t>Смена кранов шаровых Ду 32</t>
  </si>
  <si>
    <t>Мелкий ремонт изоляции</t>
  </si>
  <si>
    <t>1 м</t>
  </si>
  <si>
    <t>диаметр трубы 50</t>
  </si>
  <si>
    <t>диаметр трубы 75</t>
  </si>
  <si>
    <t xml:space="preserve">1 м </t>
  </si>
  <si>
    <t>диаметр трубы 100</t>
  </si>
  <si>
    <t xml:space="preserve">Снятие параметров теплоносителя </t>
  </si>
  <si>
    <t>1 МКД</t>
  </si>
  <si>
    <t>Снятие и установка контрольно-измерительных приборов (КИП) для поверки</t>
  </si>
  <si>
    <t>1 прибор</t>
  </si>
  <si>
    <t>Осмотр системы центрального отопления  в подвалах и на техэтаже</t>
  </si>
  <si>
    <t>1000 кв м</t>
  </si>
  <si>
    <t>ВОДОСНАБЖЕНИЕ И ВОДООТВЕДЕНИЕ</t>
  </si>
  <si>
    <t>Временная заделка свищей (хомуты):</t>
  </si>
  <si>
    <t>Ф до 50 мм</t>
  </si>
  <si>
    <t>1 место</t>
  </si>
  <si>
    <t>Ф до 100 мм</t>
  </si>
  <si>
    <t>Осмотр водопровода, канализации и горячего водоснабжения в МОП</t>
  </si>
  <si>
    <t>100 п/м</t>
  </si>
  <si>
    <t>Снятие и установка контрольно-измерительных приборов в МОП (водомеры, манометры)</t>
  </si>
  <si>
    <t>1 счетчик</t>
  </si>
  <si>
    <t xml:space="preserve">Устранение засоров внутренних канализационных трубопроводов </t>
  </si>
  <si>
    <t>Установка  автовоздушников d 15 мм</t>
  </si>
  <si>
    <t>Консервация поливочных кранов  (на зиму)</t>
  </si>
  <si>
    <t>Расконсервация поливочных кранов</t>
  </si>
  <si>
    <t>Ликвидация воздушных пробок в стояке ГВС</t>
  </si>
  <si>
    <t>Снятие показаний вводных водомеров</t>
  </si>
  <si>
    <t>Обход квартир с целью контрольного снятия показаний водомеров</t>
  </si>
  <si>
    <t>1 квартира</t>
  </si>
  <si>
    <t>ЭЛЕКТРОСНАБЖЕНИЕ</t>
  </si>
  <si>
    <t>Замена перегоревших эл. ламп в МОП:</t>
  </si>
  <si>
    <t xml:space="preserve"> - лампы энергосберегающей</t>
  </si>
  <si>
    <t>Замена светильников светодиодных</t>
  </si>
  <si>
    <t>Ремонт светильников, в т.ч.</t>
  </si>
  <si>
    <t xml:space="preserve"> - замена ламподержателей</t>
  </si>
  <si>
    <t>Ремонт выключателей и розеток в МОП</t>
  </si>
  <si>
    <t>1 шт</t>
  </si>
  <si>
    <t>Смена выключателей и розеток в МОП</t>
  </si>
  <si>
    <t>Мелкий ремонт электропроводки в МОП до квартирного электросчетчика</t>
  </si>
  <si>
    <t>Ремонт групповых поэтажных электрощитов</t>
  </si>
  <si>
    <t>Осмотр линий электросетей, арматуры и электрооборудования в МОП, на лестничных клетках</t>
  </si>
  <si>
    <t>100 лестн. площадок</t>
  </si>
  <si>
    <t>Обслуживание домофона</t>
  </si>
  <si>
    <t>СПЕЦРАБОТЫ</t>
  </si>
  <si>
    <t>Обслуживание теплового узла</t>
  </si>
  <si>
    <t>Поверка и ремонт приборов учета тепла в тепловом узле</t>
  </si>
  <si>
    <t>Поверка термометров в тепловом узле</t>
  </si>
  <si>
    <t>Замена термометров в тепловом узле</t>
  </si>
  <si>
    <t>Поверка  манометров в тепловом узле</t>
  </si>
  <si>
    <t>Замена  манометров в тепловом узле</t>
  </si>
  <si>
    <t>Проверка вентканалов</t>
  </si>
  <si>
    <t>Чистка вентканалов</t>
  </si>
  <si>
    <t>Аварийно-диспетчерское обслуживание</t>
  </si>
  <si>
    <t>кв м</t>
  </si>
  <si>
    <t>Дератизация  помещений</t>
  </si>
  <si>
    <t>Дезинсекция помещений</t>
  </si>
  <si>
    <t>Лабораторные испытания электрооборудования</t>
  </si>
  <si>
    <t>1 подъезд</t>
  </si>
  <si>
    <t xml:space="preserve">Техническое обслуживание лифтов </t>
  </si>
  <si>
    <t>1 лифт</t>
  </si>
  <si>
    <t>ВДГО (техническое обслуживание газ)</t>
  </si>
  <si>
    <t>Техническое обслуживание видеонаблюдения</t>
  </si>
  <si>
    <t>ВСЕГО по тарифу на содержание и техническое обслуживание</t>
  </si>
  <si>
    <t>многоквартирного дома по адресу: г.Краснодар, улица Тюляева, д.8</t>
  </si>
  <si>
    <t>ДОПОЛНИТЕЛЬНЫЕ УСЛУГИ</t>
  </si>
  <si>
    <t>=15.70-14.27</t>
  </si>
  <si>
    <t>Видеонаблюдение</t>
  </si>
  <si>
    <t>Обслуживание антенны</t>
  </si>
  <si>
    <t>Обслуживание лифтов</t>
  </si>
  <si>
    <t>Пост охраны</t>
  </si>
  <si>
    <t>Примечание:</t>
  </si>
  <si>
    <t>1. Текущий ремонт за 1 кв м занимаемого жилого помещения в месяц</t>
  </si>
  <si>
    <t>2. Управленческие расходы за 1 кв м занимаемого жилого помещения в месяц</t>
  </si>
  <si>
    <t>ВСЕГО:</t>
  </si>
  <si>
    <t>Уход за кустарниками и деревьями</t>
  </si>
  <si>
    <t>Посадка деревьев</t>
  </si>
  <si>
    <t>Посадка кустарников</t>
  </si>
  <si>
    <t>Контроль и взаимодействие</t>
  </si>
  <si>
    <t>Управляющая организация                                                          Собственник</t>
  </si>
  <si>
    <t xml:space="preserve">Генеральный директор                                   </t>
  </si>
  <si>
    <t xml:space="preserve">                                                                       </t>
  </si>
  <si>
    <t>_______________Д.Г. Дугин                                     ____________________________</t>
  </si>
  <si>
    <t xml:space="preserve">                                                    Приложение №1 к Договору №8-______</t>
  </si>
  <si>
    <t xml:space="preserve">                                                                          от _____________20___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</si>
</sst>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" fillId="0" borderId="0"/>
  </cellStyleXfs>
  <cellXfs count="136">
    <xf numFmtId="0" fontId="0" fillId="0" borderId="0" xfId="0"/>
    <xf numFmtId="3" fontId="5" fillId="4" borderId="1" xfId="1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right" wrapText="1"/>
    </xf>
    <xf numFmtId="4" fontId="4" fillId="2" borderId="1" xfId="1" applyNumberFormat="1" applyFont="1" applyFill="1" applyBorder="1"/>
    <xf numFmtId="4" fontId="5" fillId="2" borderId="1" xfId="1" applyNumberFormat="1" applyFont="1" applyFill="1" applyBorder="1" applyAlignment="1" applyProtection="1">
      <alignment wrapText="1"/>
      <protection hidden="1"/>
    </xf>
    <xf numFmtId="4" fontId="4" fillId="4" borderId="1" xfId="1" applyNumberFormat="1" applyFont="1" applyFill="1" applyBorder="1"/>
    <xf numFmtId="0" fontId="5" fillId="2" borderId="0" xfId="1" applyFont="1" applyFill="1"/>
    <xf numFmtId="0" fontId="5" fillId="2" borderId="1" xfId="1" applyFont="1" applyFill="1" applyBorder="1"/>
    <xf numFmtId="4" fontId="5" fillId="2" borderId="1" xfId="1" applyNumberFormat="1" applyFont="1" applyFill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right" wrapText="1"/>
    </xf>
    <xf numFmtId="4" fontId="5" fillId="2" borderId="1" xfId="1" applyNumberFormat="1" applyFont="1" applyFill="1" applyBorder="1"/>
    <xf numFmtId="4" fontId="4" fillId="4" borderId="1" xfId="1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vertical="top" wrapText="1"/>
    </xf>
    <xf numFmtId="0" fontId="5" fillId="2" borderId="0" xfId="1" applyFont="1" applyFill="1" applyAlignment="1">
      <alignment horizontal="center"/>
    </xf>
    <xf numFmtId="0" fontId="5" fillId="4" borderId="0" xfId="1" applyFont="1" applyFill="1"/>
    <xf numFmtId="0" fontId="8" fillId="2" borderId="0" xfId="0" applyFont="1" applyFill="1"/>
    <xf numFmtId="0" fontId="9" fillId="2" borderId="0" xfId="1" applyFont="1" applyFill="1"/>
    <xf numFmtId="4" fontId="8" fillId="2" borderId="0" xfId="0" applyNumberFormat="1" applyFont="1" applyFill="1"/>
    <xf numFmtId="4" fontId="4" fillId="4" borderId="0" xfId="1" applyNumberFormat="1" applyFont="1" applyFill="1"/>
    <xf numFmtId="4" fontId="6" fillId="2" borderId="0" xfId="1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1" applyNumberFormat="1" applyFont="1" applyFill="1" applyBorder="1" applyAlignment="1" applyProtection="1">
      <alignment wrapText="1"/>
      <protection hidden="1"/>
    </xf>
    <xf numFmtId="0" fontId="4" fillId="2" borderId="0" xfId="1" applyFont="1" applyFill="1"/>
    <xf numFmtId="0" fontId="6" fillId="2" borderId="0" xfId="1" applyFont="1" applyFill="1"/>
    <xf numFmtId="0" fontId="7" fillId="2" borderId="0" xfId="1" applyFont="1" applyFill="1"/>
    <xf numFmtId="2" fontId="4" fillId="2" borderId="0" xfId="1" applyNumberFormat="1" applyFont="1" applyFill="1"/>
    <xf numFmtId="0" fontId="4" fillId="4" borderId="0" xfId="1" applyFont="1" applyFill="1"/>
    <xf numFmtId="4" fontId="10" fillId="2" borderId="0" xfId="1" applyNumberFormat="1" applyFont="1" applyFill="1"/>
    <xf numFmtId="0" fontId="10" fillId="2" borderId="0" xfId="1" applyFont="1" applyFill="1"/>
    <xf numFmtId="4" fontId="12" fillId="2" borderId="0" xfId="1" applyNumberFormat="1" applyFont="1" applyFill="1" applyAlignment="1">
      <alignment horizontal="center" wrapText="1"/>
    </xf>
    <xf numFmtId="0" fontId="13" fillId="2" borderId="0" xfId="1" applyFont="1" applyFill="1"/>
    <xf numFmtId="0" fontId="11" fillId="2" borderId="0" xfId="0" applyFont="1" applyFill="1"/>
    <xf numFmtId="0" fontId="5" fillId="2" borderId="0" xfId="0" applyFont="1" applyFill="1" applyAlignment="1">
      <alignment horizontal="center"/>
    </xf>
    <xf numFmtId="4" fontId="8" fillId="2" borderId="0" xfId="1" applyNumberFormat="1" applyFont="1" applyFill="1" applyAlignment="1">
      <alignment wrapText="1"/>
    </xf>
    <xf numFmtId="4" fontId="7" fillId="2" borderId="0" xfId="1" applyNumberFormat="1" applyFont="1" applyFill="1" applyAlignment="1">
      <alignment wrapText="1"/>
    </xf>
    <xf numFmtId="0" fontId="8" fillId="2" borderId="0" xfId="0" applyFont="1" applyFill="1" applyAlignment="1">
      <alignment horizontal="center"/>
    </xf>
    <xf numFmtId="4" fontId="8" fillId="2" borderId="0" xfId="1" applyNumberFormat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 shrinkToFit="1"/>
    </xf>
    <xf numFmtId="164" fontId="7" fillId="3" borderId="1" xfId="1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 wrapText="1" shrinkToFit="1"/>
    </xf>
    <xf numFmtId="4" fontId="7" fillId="2" borderId="1" xfId="1" applyNumberFormat="1" applyFont="1" applyFill="1" applyBorder="1" applyAlignment="1">
      <alignment horizontal="center" vertical="center" wrapText="1" shrinkToFit="1"/>
    </xf>
    <xf numFmtId="4" fontId="7" fillId="3" borderId="0" xfId="1" applyNumberFormat="1" applyFont="1" applyFill="1" applyAlignment="1">
      <alignment horizontal="center" vertical="center" wrapText="1" shrinkToFit="1"/>
    </xf>
    <xf numFmtId="4" fontId="4" fillId="3" borderId="0" xfId="1" applyNumberFormat="1" applyFont="1" applyFill="1" applyAlignment="1">
      <alignment horizontal="center" vertical="center" wrapText="1" shrinkToFit="1"/>
    </xf>
    <xf numFmtId="4" fontId="4" fillId="3" borderId="1" xfId="1" applyNumberFormat="1" applyFont="1" applyFill="1" applyBorder="1" applyAlignment="1">
      <alignment horizontal="center" wrapText="1" shrinkToFit="1"/>
    </xf>
    <xf numFmtId="4" fontId="7" fillId="3" borderId="1" xfId="1" applyNumberFormat="1" applyFont="1" applyFill="1" applyBorder="1" applyAlignment="1">
      <alignment horizontal="center" wrapText="1" shrinkToFit="1"/>
    </xf>
    <xf numFmtId="164" fontId="4" fillId="3" borderId="1" xfId="1" applyNumberFormat="1" applyFont="1" applyFill="1" applyBorder="1" applyAlignment="1">
      <alignment horizontal="center" wrapText="1" shrinkToFit="1"/>
    </xf>
    <xf numFmtId="3" fontId="4" fillId="3" borderId="1" xfId="1" applyNumberFormat="1" applyFont="1" applyFill="1" applyBorder="1" applyAlignment="1">
      <alignment horizontal="center" wrapText="1" shrinkToFit="1"/>
    </xf>
    <xf numFmtId="4" fontId="4" fillId="2" borderId="1" xfId="1" applyNumberFormat="1" applyFont="1" applyFill="1" applyBorder="1" applyAlignment="1">
      <alignment horizontal="center" wrapText="1" shrinkToFit="1"/>
    </xf>
    <xf numFmtId="4" fontId="4" fillId="3" borderId="0" xfId="1" applyNumberFormat="1" applyFont="1" applyFill="1" applyAlignment="1">
      <alignment horizontal="center" wrapText="1" shrinkToFit="1"/>
    </xf>
    <xf numFmtId="4" fontId="4" fillId="4" borderId="1" xfId="1" applyNumberFormat="1" applyFont="1" applyFill="1" applyBorder="1" applyAlignment="1">
      <alignment horizontal="center" wrapText="1"/>
    </xf>
    <xf numFmtId="4" fontId="7" fillId="4" borderId="1" xfId="1" applyNumberFormat="1" applyFont="1" applyFill="1" applyBorder="1" applyAlignment="1">
      <alignment wrapText="1"/>
    </xf>
    <xf numFmtId="164" fontId="4" fillId="4" borderId="1" xfId="1" applyNumberFormat="1" applyFont="1" applyFill="1" applyBorder="1" applyAlignment="1">
      <alignment horizontal="center" wrapText="1"/>
    </xf>
    <xf numFmtId="3" fontId="5" fillId="4" borderId="1" xfId="1" applyNumberFormat="1" applyFont="1" applyFill="1" applyBorder="1" applyAlignment="1" applyProtection="1">
      <alignment wrapText="1"/>
      <protection locked="0"/>
    </xf>
    <xf numFmtId="4" fontId="5" fillId="4" borderId="1" xfId="1" applyNumberFormat="1" applyFont="1" applyFill="1" applyBorder="1" applyAlignment="1" applyProtection="1">
      <alignment wrapText="1"/>
      <protection hidden="1"/>
    </xf>
    <xf numFmtId="0" fontId="5" fillId="4" borderId="1" xfId="1" applyFont="1" applyFill="1" applyBorder="1"/>
    <xf numFmtId="4" fontId="5" fillId="4" borderId="1" xfId="1" applyNumberFormat="1" applyFont="1" applyFill="1" applyBorder="1" applyAlignment="1">
      <alignment wrapText="1"/>
    </xf>
    <xf numFmtId="4" fontId="9" fillId="4" borderId="1" xfId="1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 applyProtection="1">
      <alignment horizontal="right" wrapText="1"/>
      <protection locked="0"/>
    </xf>
    <xf numFmtId="4" fontId="5" fillId="4" borderId="1" xfId="1" applyNumberFormat="1" applyFont="1" applyFill="1" applyBorder="1"/>
    <xf numFmtId="4" fontId="5" fillId="4" borderId="0" xfId="1" applyNumberFormat="1" applyFont="1" applyFill="1"/>
    <xf numFmtId="2" fontId="13" fillId="2" borderId="1" xfId="1" applyNumberFormat="1" applyFont="1" applyFill="1" applyBorder="1"/>
    <xf numFmtId="4" fontId="5" fillId="4" borderId="1" xfId="1" applyNumberFormat="1" applyFont="1" applyFill="1" applyBorder="1" applyAlignment="1">
      <alignment horizontal="right" wrapText="1"/>
    </xf>
    <xf numFmtId="4" fontId="5" fillId="2" borderId="1" xfId="1" applyNumberFormat="1" applyFont="1" applyFill="1" applyBorder="1" applyAlignment="1">
      <alignment wrapText="1"/>
    </xf>
    <xf numFmtId="4" fontId="9" fillId="2" borderId="1" xfId="1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 applyProtection="1">
      <alignment wrapText="1"/>
      <protection locked="0"/>
    </xf>
    <xf numFmtId="3" fontId="5" fillId="2" borderId="1" xfId="1" applyNumberFormat="1" applyFont="1" applyFill="1" applyBorder="1"/>
    <xf numFmtId="4" fontId="7" fillId="4" borderId="1" xfId="1" applyNumberFormat="1" applyFont="1" applyFill="1" applyBorder="1" applyAlignment="1">
      <alignment horizontal="center" wrapText="1"/>
    </xf>
    <xf numFmtId="4" fontId="4" fillId="4" borderId="1" xfId="1" applyNumberFormat="1" applyFont="1" applyFill="1" applyBorder="1" applyAlignment="1">
      <alignment horizontal="right" wrapText="1"/>
    </xf>
    <xf numFmtId="3" fontId="4" fillId="4" borderId="1" xfId="1" applyNumberFormat="1" applyFont="1" applyFill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wrapText="1"/>
      <protection locked="0"/>
    </xf>
    <xf numFmtId="4" fontId="4" fillId="4" borderId="1" xfId="1" applyNumberFormat="1" applyFont="1" applyFill="1" applyBorder="1" applyAlignment="1" applyProtection="1">
      <alignment wrapText="1"/>
      <protection hidden="1"/>
    </xf>
    <xf numFmtId="0" fontId="14" fillId="2" borderId="0" xfId="1" applyFont="1" applyFill="1"/>
    <xf numFmtId="4" fontId="5" fillId="2" borderId="0" xfId="1" applyNumberFormat="1" applyFont="1" applyFill="1"/>
    <xf numFmtId="4" fontId="5" fillId="2" borderId="1" xfId="1" applyNumberFormat="1" applyFont="1" applyFill="1" applyBorder="1" applyAlignment="1">
      <alignment horizontal="left" wrapText="1"/>
    </xf>
    <xf numFmtId="49" fontId="5" fillId="4" borderId="1" xfId="1" applyNumberFormat="1" applyFont="1" applyFill="1" applyBorder="1" applyAlignment="1">
      <alignment wrapText="1"/>
    </xf>
    <xf numFmtId="4" fontId="5" fillId="2" borderId="1" xfId="1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/>
    </xf>
    <xf numFmtId="4" fontId="4" fillId="4" borderId="1" xfId="1" applyNumberFormat="1" applyFont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/>
    </xf>
    <xf numFmtId="4" fontId="5" fillId="4" borderId="1" xfId="1" applyNumberFormat="1" applyFont="1" applyFill="1" applyBorder="1" applyAlignment="1">
      <alignment horizontal="left"/>
    </xf>
    <xf numFmtId="4" fontId="9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left"/>
    </xf>
    <xf numFmtId="4" fontId="4" fillId="4" borderId="1" xfId="1" applyNumberFormat="1" applyFont="1" applyFill="1" applyBorder="1" applyAlignment="1">
      <alignment horizontal="right"/>
    </xf>
    <xf numFmtId="2" fontId="5" fillId="2" borderId="1" xfId="1" applyNumberFormat="1" applyFont="1" applyFill="1" applyBorder="1"/>
    <xf numFmtId="4" fontId="5" fillId="4" borderId="1" xfId="1" applyNumberFormat="1" applyFont="1" applyFill="1" applyBorder="1" applyAlignment="1">
      <alignment horizontal="right"/>
    </xf>
    <xf numFmtId="4" fontId="5" fillId="4" borderId="1" xfId="1" applyNumberFormat="1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/>
    </xf>
    <xf numFmtId="165" fontId="5" fillId="2" borderId="1" xfId="1" applyNumberFormat="1" applyFont="1" applyFill="1" applyBorder="1"/>
    <xf numFmtId="3" fontId="5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/>
    </xf>
    <xf numFmtId="4" fontId="9" fillId="2" borderId="1" xfId="1" applyNumberFormat="1" applyFont="1" applyFill="1" applyBorder="1"/>
    <xf numFmtId="4" fontId="4" fillId="4" borderId="1" xfId="1" applyNumberFormat="1" applyFont="1" applyFill="1" applyBorder="1" applyAlignment="1">
      <alignment horizontal="left" wrapText="1"/>
    </xf>
    <xf numFmtId="4" fontId="5" fillId="2" borderId="8" xfId="1" applyNumberFormat="1" applyFont="1" applyFill="1" applyBorder="1"/>
    <xf numFmtId="2" fontId="13" fillId="2" borderId="8" xfId="1" applyNumberFormat="1" applyFont="1" applyFill="1" applyBorder="1"/>
    <xf numFmtId="0" fontId="6" fillId="2" borderId="0" xfId="1" applyFont="1" applyFill="1" applyAlignment="1">
      <alignment horizontal="center"/>
    </xf>
    <xf numFmtId="4" fontId="6" fillId="2" borderId="0" xfId="1" applyNumberFormat="1" applyFont="1" applyFill="1"/>
    <xf numFmtId="49" fontId="4" fillId="2" borderId="0" xfId="1" applyNumberFormat="1" applyFont="1" applyFill="1"/>
    <xf numFmtId="4" fontId="6" fillId="2" borderId="0" xfId="1" applyNumberFormat="1" applyFont="1" applyFill="1" applyAlignment="1">
      <alignment horizontal="right" vertical="top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/>
    </xf>
    <xf numFmtId="2" fontId="5" fillId="2" borderId="0" xfId="1" applyNumberFormat="1" applyFont="1" applyFill="1"/>
    <xf numFmtId="2" fontId="4" fillId="2" borderId="0" xfId="1" applyNumberFormat="1" applyFont="1" applyFill="1" applyAlignment="1">
      <alignment horizontal="center"/>
    </xf>
    <xf numFmtId="3" fontId="5" fillId="4" borderId="1" xfId="1" applyNumberFormat="1" applyFont="1" applyFill="1" applyBorder="1" applyAlignment="1">
      <alignment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/>
    </xf>
    <xf numFmtId="0" fontId="15" fillId="2" borderId="0" xfId="1" applyFont="1" applyFill="1"/>
    <xf numFmtId="0" fontId="15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6" fillId="2" borderId="0" xfId="1" applyFont="1" applyFill="1"/>
    <xf numFmtId="0" fontId="3" fillId="0" borderId="0" xfId="2" applyFont="1" applyFill="1" applyAlignment="1">
      <alignment horizontal="center"/>
    </xf>
    <xf numFmtId="0" fontId="17" fillId="0" borderId="0" xfId="2" applyFont="1"/>
    <xf numFmtId="0" fontId="17" fillId="0" borderId="0" xfId="2" applyFont="1" applyAlignment="1"/>
    <xf numFmtId="4" fontId="4" fillId="2" borderId="1" xfId="1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/>
    </xf>
    <xf numFmtId="4" fontId="12" fillId="2" borderId="0" xfId="1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4" fontId="8" fillId="2" borderId="0" xfId="1" applyNumberFormat="1" applyFont="1" applyFill="1" applyAlignment="1">
      <alignment horizont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L146"/>
  <sheetViews>
    <sheetView tabSelected="1" topLeftCell="A136" zoomScaleNormal="100" workbookViewId="0">
      <selection activeCell="BI133" sqref="BI133"/>
    </sheetView>
  </sheetViews>
  <sheetFormatPr defaultColWidth="11.5703125" defaultRowHeight="15" x14ac:dyDescent="0.25"/>
  <cols>
    <col min="1" max="1" width="5.7109375" style="35" customWidth="1"/>
    <col min="2" max="2" width="55.7109375" style="33" customWidth="1"/>
    <col min="3" max="3" width="12" style="120" customWidth="1"/>
    <col min="4" max="4" width="9.7109375" style="33" customWidth="1"/>
    <col min="5" max="5" width="9.85546875" style="33" customWidth="1"/>
    <col min="6" max="6" width="11" style="33" customWidth="1"/>
    <col min="7" max="7" width="10" style="33" customWidth="1"/>
    <col min="8" max="8" width="11.85546875" style="33" bestFit="1" customWidth="1"/>
    <col min="9" max="9" width="13" style="33" customWidth="1"/>
    <col min="10" max="11" width="13" style="33" hidden="1" customWidth="1"/>
    <col min="12" max="12" width="4.7109375" style="33" hidden="1" customWidth="1"/>
    <col min="13" max="13" width="9.5703125" style="33" hidden="1" customWidth="1"/>
    <col min="14" max="14" width="9.42578125" style="33" hidden="1" customWidth="1"/>
    <col min="15" max="16" width="21.7109375" style="33" hidden="1" customWidth="1"/>
    <col min="17" max="17" width="9.7109375" style="33" hidden="1" customWidth="1"/>
    <col min="18" max="18" width="5.85546875" style="33" hidden="1" customWidth="1"/>
    <col min="19" max="19" width="10.5703125" style="33" hidden="1" customWidth="1"/>
    <col min="20" max="59" width="21.7109375" style="33" hidden="1" customWidth="1"/>
    <col min="60" max="244" width="21.7109375" style="33" customWidth="1"/>
    <col min="245" max="16384" width="11.5703125" style="34"/>
  </cols>
  <sheetData>
    <row r="2" spans="1:244" x14ac:dyDescent="0.25">
      <c r="D2" s="34"/>
      <c r="F2" s="121" t="s">
        <v>161</v>
      </c>
    </row>
    <row r="3" spans="1:244" x14ac:dyDescent="0.25">
      <c r="D3" s="122" t="s">
        <v>162</v>
      </c>
    </row>
    <row r="4" spans="1:244" x14ac:dyDescent="0.25">
      <c r="D4" s="122"/>
    </row>
    <row r="5" spans="1:244" ht="24" customHeight="1" x14ac:dyDescent="0.3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32"/>
      <c r="K5" s="32"/>
      <c r="L5" s="32"/>
    </row>
    <row r="6" spans="1:244" ht="13.35" customHeight="1" x14ac:dyDescent="0.25">
      <c r="B6" s="36"/>
      <c r="C6" s="37"/>
    </row>
    <row r="7" spans="1:244" ht="16.149999999999999" customHeight="1" x14ac:dyDescent="0.25">
      <c r="A7" s="128" t="s">
        <v>1</v>
      </c>
      <c r="B7" s="128"/>
      <c r="C7" s="128"/>
      <c r="D7" s="128"/>
      <c r="E7" s="128"/>
      <c r="F7" s="128"/>
      <c r="G7" s="128"/>
      <c r="H7" s="128"/>
      <c r="I7" s="128"/>
      <c r="J7" s="38"/>
      <c r="K7" s="38"/>
      <c r="L7" s="38"/>
    </row>
    <row r="8" spans="1:244" ht="15.4" customHeight="1" x14ac:dyDescent="0.25">
      <c r="A8" s="129" t="s">
        <v>142</v>
      </c>
      <c r="B8" s="129"/>
      <c r="C8" s="129"/>
      <c r="D8" s="129"/>
      <c r="E8" s="129"/>
      <c r="F8" s="129"/>
      <c r="G8" s="129"/>
      <c r="H8" s="129"/>
      <c r="I8" s="129"/>
      <c r="J8" s="39"/>
      <c r="K8" s="39"/>
      <c r="L8" s="39"/>
    </row>
    <row r="9" spans="1:244" ht="33" customHeigh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39"/>
      <c r="K9" s="39"/>
      <c r="L9" s="39"/>
    </row>
    <row r="10" spans="1:244" s="43" customFormat="1" ht="18.75" customHeight="1" x14ac:dyDescent="0.25">
      <c r="A10" s="130" t="s">
        <v>2</v>
      </c>
      <c r="B10" s="131"/>
      <c r="C10" s="125" t="s">
        <v>3</v>
      </c>
      <c r="D10" s="125"/>
      <c r="E10" s="125"/>
      <c r="F10" s="126">
        <v>9</v>
      </c>
      <c r="G10" s="126"/>
      <c r="H10" s="126"/>
      <c r="I10" s="126"/>
      <c r="J10" s="40"/>
      <c r="K10" s="40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</row>
    <row r="11" spans="1:244" s="43" customFormat="1" ht="18.75" customHeight="1" x14ac:dyDescent="0.25">
      <c r="A11" s="132"/>
      <c r="B11" s="133"/>
      <c r="C11" s="125" t="s">
        <v>4</v>
      </c>
      <c r="D11" s="125"/>
      <c r="E11" s="125"/>
      <c r="F11" s="126">
        <v>5</v>
      </c>
      <c r="G11" s="126"/>
      <c r="H11" s="126"/>
      <c r="I11" s="126"/>
      <c r="J11" s="40"/>
      <c r="K11" s="40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</row>
    <row r="12" spans="1:244" s="43" customFormat="1" ht="27.75" customHeight="1" x14ac:dyDescent="0.25">
      <c r="A12" s="132"/>
      <c r="B12" s="133"/>
      <c r="C12" s="125" t="s">
        <v>5</v>
      </c>
      <c r="D12" s="125"/>
      <c r="E12" s="125"/>
      <c r="F12" s="126">
        <v>144</v>
      </c>
      <c r="G12" s="126"/>
      <c r="H12" s="126"/>
      <c r="I12" s="126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</row>
    <row r="13" spans="1:244" s="43" customFormat="1" ht="18.75" customHeight="1" x14ac:dyDescent="0.25">
      <c r="A13" s="132"/>
      <c r="B13" s="133"/>
      <c r="C13" s="125" t="s">
        <v>6</v>
      </c>
      <c r="D13" s="125"/>
      <c r="E13" s="125"/>
      <c r="F13" s="126">
        <v>11121.5</v>
      </c>
      <c r="G13" s="126"/>
      <c r="H13" s="126"/>
      <c r="I13" s="126"/>
      <c r="J13" s="40"/>
      <c r="K13" s="40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</row>
    <row r="14" spans="1:244" ht="18.75" customHeight="1" x14ac:dyDescent="0.25">
      <c r="A14" s="134"/>
      <c r="B14" s="135"/>
      <c r="C14" s="124" t="s">
        <v>7</v>
      </c>
      <c r="D14" s="124"/>
      <c r="E14" s="124"/>
      <c r="F14" s="126" t="s">
        <v>8</v>
      </c>
      <c r="G14" s="126"/>
      <c r="H14" s="126"/>
      <c r="I14" s="126"/>
      <c r="J14" s="40"/>
      <c r="K14" s="40"/>
      <c r="L14" s="41"/>
    </row>
    <row r="15" spans="1:244" ht="12.95" customHeight="1" x14ac:dyDescent="0.25">
      <c r="A15" s="2"/>
      <c r="B15" s="124"/>
      <c r="C15" s="124"/>
      <c r="D15" s="124"/>
      <c r="E15" s="124"/>
      <c r="F15" s="124"/>
      <c r="G15" s="124"/>
      <c r="H15" s="124"/>
      <c r="I15" s="124"/>
      <c r="J15" s="44"/>
      <c r="K15" s="44"/>
      <c r="L15" s="44"/>
    </row>
    <row r="16" spans="1:244" ht="67.900000000000006" customHeight="1" x14ac:dyDescent="0.25">
      <c r="A16" s="45" t="s">
        <v>9</v>
      </c>
      <c r="B16" s="46" t="s">
        <v>10</v>
      </c>
      <c r="C16" s="46" t="s">
        <v>11</v>
      </c>
      <c r="D16" s="47" t="s">
        <v>12</v>
      </c>
      <c r="E16" s="48" t="s">
        <v>13</v>
      </c>
      <c r="F16" s="46" t="s">
        <v>14</v>
      </c>
      <c r="G16" s="49" t="s">
        <v>15</v>
      </c>
      <c r="H16" s="46" t="s">
        <v>16</v>
      </c>
      <c r="I16" s="46" t="s">
        <v>17</v>
      </c>
      <c r="J16" s="50"/>
      <c r="K16" s="50"/>
      <c r="L16" s="51"/>
    </row>
    <row r="17" spans="1:246" ht="21.75" customHeight="1" x14ac:dyDescent="0.25">
      <c r="A17" s="23"/>
      <c r="B17" s="52" t="s">
        <v>18</v>
      </c>
      <c r="C17" s="53"/>
      <c r="D17" s="54"/>
      <c r="E17" s="55"/>
      <c r="F17" s="52"/>
      <c r="G17" s="56"/>
      <c r="H17" s="52"/>
      <c r="I17" s="52"/>
      <c r="J17" s="57"/>
      <c r="K17" s="57"/>
      <c r="L17" s="51"/>
    </row>
    <row r="18" spans="1:246" ht="16.5" customHeight="1" x14ac:dyDescent="0.25">
      <c r="A18" s="2">
        <v>1</v>
      </c>
      <c r="B18" s="58" t="s">
        <v>19</v>
      </c>
      <c r="C18" s="59"/>
      <c r="D18" s="60"/>
      <c r="E18" s="61"/>
      <c r="F18" s="62"/>
      <c r="G18" s="9"/>
      <c r="H18" s="63"/>
      <c r="I18" s="63"/>
      <c r="J18" s="17"/>
      <c r="K18" s="17"/>
      <c r="L18" s="17"/>
    </row>
    <row r="19" spans="1:246" ht="26.25" x14ac:dyDescent="0.25">
      <c r="A19" s="2">
        <v>2</v>
      </c>
      <c r="B19" s="64" t="s">
        <v>20</v>
      </c>
      <c r="C19" s="65" t="s">
        <v>21</v>
      </c>
      <c r="D19" s="11">
        <f>643</f>
        <v>643</v>
      </c>
      <c r="E19" s="66">
        <v>254</v>
      </c>
      <c r="F19" s="6">
        <f t="shared" ref="F19:F31" si="0">E19*D19</f>
        <v>163322</v>
      </c>
      <c r="G19" s="12">
        <v>0.3</v>
      </c>
      <c r="H19" s="67">
        <f t="shared" ref="H19" si="1">F19*G19</f>
        <v>48996.6</v>
      </c>
      <c r="I19" s="67">
        <f>H19/F13/12</f>
        <v>0.36713123229780154</v>
      </c>
      <c r="J19" s="68"/>
      <c r="K19" s="68"/>
      <c r="L19" s="68"/>
      <c r="M19" s="12">
        <v>0.28999999999999998</v>
      </c>
      <c r="N19" s="69">
        <f>M19*5/100+M19</f>
        <v>0.30449999999999999</v>
      </c>
    </row>
    <row r="20" spans="1:246" ht="26.25" x14ac:dyDescent="0.25">
      <c r="A20" s="2">
        <v>3</v>
      </c>
      <c r="B20" s="64" t="s">
        <v>22</v>
      </c>
      <c r="C20" s="65" t="s">
        <v>21</v>
      </c>
      <c r="D20" s="70">
        <v>798</v>
      </c>
      <c r="E20" s="66">
        <v>156</v>
      </c>
      <c r="F20" s="6">
        <f t="shared" si="0"/>
        <v>124488</v>
      </c>
      <c r="G20" s="12">
        <v>0.41</v>
      </c>
      <c r="H20" s="67">
        <f t="shared" ref="H20:H34" si="2">F20*G20</f>
        <v>51040.079999999994</v>
      </c>
      <c r="I20" s="67">
        <f>H20/F13/12</f>
        <v>0.38244301578024542</v>
      </c>
      <c r="J20" s="68"/>
      <c r="K20" s="68"/>
      <c r="L20" s="68"/>
      <c r="M20" s="12">
        <v>0.39</v>
      </c>
      <c r="N20" s="69">
        <f t="shared" ref="N20:N85" si="3">M20*5/100+M20</f>
        <v>0.40950000000000003</v>
      </c>
    </row>
    <row r="21" spans="1:246" x14ac:dyDescent="0.25">
      <c r="A21" s="2">
        <v>4</v>
      </c>
      <c r="B21" s="64" t="s">
        <v>23</v>
      </c>
      <c r="C21" s="65" t="s">
        <v>24</v>
      </c>
      <c r="D21" s="1">
        <v>8</v>
      </c>
      <c r="E21" s="66">
        <v>254</v>
      </c>
      <c r="F21" s="6">
        <f t="shared" si="0"/>
        <v>2032</v>
      </c>
      <c r="G21" s="12">
        <v>11.05</v>
      </c>
      <c r="H21" s="67">
        <f t="shared" si="2"/>
        <v>22453.600000000002</v>
      </c>
      <c r="I21" s="67">
        <f>H21/F13/12</f>
        <v>0.16824469121371519</v>
      </c>
      <c r="J21" s="68"/>
      <c r="K21" s="68"/>
      <c r="L21" s="68"/>
      <c r="M21" s="12">
        <v>10.52</v>
      </c>
      <c r="N21" s="69">
        <f t="shared" si="3"/>
        <v>11.045999999999999</v>
      </c>
    </row>
    <row r="22" spans="1:246" x14ac:dyDescent="0.25">
      <c r="A22" s="2">
        <v>5</v>
      </c>
      <c r="B22" s="64" t="s">
        <v>25</v>
      </c>
      <c r="C22" s="65" t="s">
        <v>24</v>
      </c>
      <c r="D22" s="1">
        <v>8</v>
      </c>
      <c r="E22" s="66">
        <v>12</v>
      </c>
      <c r="F22" s="6">
        <f t="shared" si="0"/>
        <v>96</v>
      </c>
      <c r="G22" s="12">
        <v>10.38</v>
      </c>
      <c r="H22" s="67">
        <f t="shared" si="2"/>
        <v>996.48</v>
      </c>
      <c r="I22" s="67">
        <f>H22/F13/12</f>
        <v>7.4666187115047427E-3</v>
      </c>
      <c r="J22" s="68"/>
      <c r="K22" s="68"/>
      <c r="L22" s="68"/>
      <c r="M22" s="12">
        <v>9.89</v>
      </c>
      <c r="N22" s="69">
        <f t="shared" si="3"/>
        <v>10.384500000000001</v>
      </c>
    </row>
    <row r="23" spans="1:246" ht="15.75" customHeight="1" x14ac:dyDescent="0.25">
      <c r="A23" s="2">
        <v>6</v>
      </c>
      <c r="B23" s="64" t="s">
        <v>26</v>
      </c>
      <c r="C23" s="65" t="s">
        <v>21</v>
      </c>
      <c r="D23" s="70">
        <v>434</v>
      </c>
      <c r="E23" s="66">
        <v>156</v>
      </c>
      <c r="F23" s="6">
        <f t="shared" si="0"/>
        <v>67704</v>
      </c>
      <c r="G23" s="12">
        <v>0.24</v>
      </c>
      <c r="H23" s="67">
        <f t="shared" si="2"/>
        <v>16248.96</v>
      </c>
      <c r="I23" s="67">
        <f>H23/F13/12</f>
        <v>0.12175336060783166</v>
      </c>
      <c r="J23" s="68"/>
      <c r="K23" s="68"/>
      <c r="L23" s="68"/>
      <c r="M23" s="12">
        <v>0.23</v>
      </c>
      <c r="N23" s="69">
        <f t="shared" si="3"/>
        <v>0.24150000000000002</v>
      </c>
    </row>
    <row r="24" spans="1:246" ht="15.75" customHeight="1" x14ac:dyDescent="0.25">
      <c r="A24" s="2">
        <v>7</v>
      </c>
      <c r="B24" s="64" t="s">
        <v>27</v>
      </c>
      <c r="C24" s="65" t="s">
        <v>21</v>
      </c>
      <c r="D24" s="70">
        <v>434</v>
      </c>
      <c r="E24" s="66">
        <v>21</v>
      </c>
      <c r="F24" s="6">
        <f t="shared" si="0"/>
        <v>9114</v>
      </c>
      <c r="G24" s="12">
        <v>2.17</v>
      </c>
      <c r="H24" s="67">
        <f t="shared" si="2"/>
        <v>19777.38</v>
      </c>
      <c r="I24" s="67">
        <f>H24/F13/12</f>
        <v>0.14819179067571822</v>
      </c>
      <c r="J24" s="68"/>
      <c r="K24" s="68"/>
      <c r="L24" s="68"/>
      <c r="M24" s="12">
        <v>2.0699999999999998</v>
      </c>
      <c r="N24" s="69">
        <f t="shared" si="3"/>
        <v>2.1734999999999998</v>
      </c>
    </row>
    <row r="25" spans="1:246" ht="31.5" customHeight="1" x14ac:dyDescent="0.25">
      <c r="A25" s="2">
        <v>8</v>
      </c>
      <c r="B25" s="64" t="s">
        <v>28</v>
      </c>
      <c r="C25" s="65" t="s">
        <v>29</v>
      </c>
      <c r="D25" s="70">
        <f>(D19+D20-D23)/1000</f>
        <v>1.0069999999999999</v>
      </c>
      <c r="E25" s="66">
        <v>1</v>
      </c>
      <c r="F25" s="6">
        <f t="shared" si="0"/>
        <v>1.0069999999999999</v>
      </c>
      <c r="G25" s="12">
        <v>403.2</v>
      </c>
      <c r="H25" s="67">
        <f t="shared" si="2"/>
        <v>406.02239999999995</v>
      </c>
      <c r="I25" s="67">
        <f>H25/F13/12</f>
        <v>3.042323427595198E-3</v>
      </c>
      <c r="J25" s="68"/>
      <c r="K25" s="68"/>
      <c r="L25" s="68"/>
      <c r="M25" s="12">
        <v>384</v>
      </c>
      <c r="N25" s="69">
        <f t="shared" si="3"/>
        <v>403.2</v>
      </c>
    </row>
    <row r="26" spans="1:246" x14ac:dyDescent="0.25">
      <c r="A26" s="2">
        <v>9</v>
      </c>
      <c r="B26" s="64" t="s">
        <v>30</v>
      </c>
      <c r="C26" s="65" t="s">
        <v>21</v>
      </c>
      <c r="D26" s="70">
        <f>5*4</f>
        <v>20</v>
      </c>
      <c r="E26" s="66">
        <v>254</v>
      </c>
      <c r="F26" s="6">
        <f t="shared" si="0"/>
        <v>5080</v>
      </c>
      <c r="G26" s="12">
        <v>0.47</v>
      </c>
      <c r="H26" s="67">
        <f t="shared" si="2"/>
        <v>2387.6</v>
      </c>
      <c r="I26" s="67">
        <f>H26/F13/12</f>
        <v>1.7890272595123557E-2</v>
      </c>
      <c r="J26" s="68"/>
      <c r="K26" s="68"/>
      <c r="L26" s="68"/>
      <c r="M26" s="12">
        <v>0.45</v>
      </c>
      <c r="N26" s="69">
        <f t="shared" si="3"/>
        <v>0.47250000000000003</v>
      </c>
    </row>
    <row r="27" spans="1:246" ht="26.25" x14ac:dyDescent="0.25">
      <c r="A27" s="2">
        <v>10</v>
      </c>
      <c r="B27" s="64" t="s">
        <v>31</v>
      </c>
      <c r="C27" s="65" t="s">
        <v>21</v>
      </c>
      <c r="D27" s="70">
        <f>5*4</f>
        <v>20</v>
      </c>
      <c r="E27" s="66">
        <v>8</v>
      </c>
      <c r="F27" s="6">
        <f t="shared" si="0"/>
        <v>160</v>
      </c>
      <c r="G27" s="12">
        <v>2.57</v>
      </c>
      <c r="H27" s="67">
        <f t="shared" si="2"/>
        <v>411.2</v>
      </c>
      <c r="I27" s="67">
        <f>H27/F13/12</f>
        <v>3.081119153591392E-3</v>
      </c>
      <c r="J27" s="68"/>
      <c r="K27" s="68"/>
      <c r="L27" s="68"/>
      <c r="M27" s="12">
        <v>2.4500000000000002</v>
      </c>
      <c r="N27" s="69">
        <f t="shared" si="3"/>
        <v>2.5725000000000002</v>
      </c>
    </row>
    <row r="28" spans="1:246" x14ac:dyDescent="0.25">
      <c r="A28" s="2">
        <v>11</v>
      </c>
      <c r="B28" s="64" t="s">
        <v>32</v>
      </c>
      <c r="C28" s="65" t="s">
        <v>21</v>
      </c>
      <c r="D28" s="70">
        <v>643</v>
      </c>
      <c r="E28" s="66">
        <v>5</v>
      </c>
      <c r="F28" s="6">
        <f t="shared" si="0"/>
        <v>3215</v>
      </c>
      <c r="G28" s="12">
        <v>0.5</v>
      </c>
      <c r="H28" s="67">
        <f t="shared" si="2"/>
        <v>1607.5</v>
      </c>
      <c r="I28" s="67">
        <f>H28/F13/12</f>
        <v>1.204498793627958E-2</v>
      </c>
      <c r="J28" s="68"/>
      <c r="K28" s="68"/>
      <c r="L28" s="68"/>
      <c r="M28" s="12">
        <v>0.48</v>
      </c>
      <c r="N28" s="69">
        <f t="shared" si="3"/>
        <v>0.504</v>
      </c>
    </row>
    <row r="29" spans="1:246" ht="15.75" customHeight="1" x14ac:dyDescent="0.25">
      <c r="A29" s="2">
        <v>12</v>
      </c>
      <c r="B29" s="64" t="s">
        <v>33</v>
      </c>
      <c r="C29" s="65" t="s">
        <v>21</v>
      </c>
      <c r="D29" s="70">
        <v>643</v>
      </c>
      <c r="E29" s="66">
        <v>5</v>
      </c>
      <c r="F29" s="6">
        <f t="shared" si="0"/>
        <v>3215</v>
      </c>
      <c r="G29" s="12">
        <v>2.2400000000000002</v>
      </c>
      <c r="H29" s="67">
        <f t="shared" si="2"/>
        <v>7201.6</v>
      </c>
      <c r="I29" s="67">
        <f>H29/F13/12</f>
        <v>5.3961545954532515E-2</v>
      </c>
      <c r="J29" s="68"/>
      <c r="K29" s="68"/>
      <c r="L29" s="68"/>
      <c r="M29" s="12">
        <v>2.13</v>
      </c>
      <c r="N29" s="69">
        <f t="shared" si="3"/>
        <v>2.2364999999999999</v>
      </c>
    </row>
    <row r="30" spans="1:246" ht="15.75" customHeight="1" x14ac:dyDescent="0.25">
      <c r="A30" s="2">
        <v>13</v>
      </c>
      <c r="B30" s="64" t="s">
        <v>34</v>
      </c>
      <c r="C30" s="65" t="s">
        <v>21</v>
      </c>
      <c r="D30" s="70">
        <v>643</v>
      </c>
      <c r="E30" s="66">
        <v>5</v>
      </c>
      <c r="F30" s="6">
        <f t="shared" si="0"/>
        <v>3215</v>
      </c>
      <c r="G30" s="12">
        <v>2.02</v>
      </c>
      <c r="H30" s="67">
        <f t="shared" si="2"/>
        <v>6494.3</v>
      </c>
      <c r="I30" s="67">
        <f>H30/F13/12</f>
        <v>4.8661751262569497E-2</v>
      </c>
      <c r="J30" s="68"/>
      <c r="K30" s="68"/>
      <c r="L30" s="68"/>
      <c r="M30" s="12">
        <v>1.92</v>
      </c>
      <c r="N30" s="69">
        <f t="shared" si="3"/>
        <v>2.016</v>
      </c>
    </row>
    <row r="31" spans="1:246" s="33" customFormat="1" ht="15.75" customHeight="1" x14ac:dyDescent="0.25">
      <c r="A31" s="2">
        <v>14</v>
      </c>
      <c r="B31" s="71" t="s">
        <v>35</v>
      </c>
      <c r="C31" s="72" t="s">
        <v>36</v>
      </c>
      <c r="D31" s="11">
        <v>1</v>
      </c>
      <c r="E31" s="73">
        <v>1</v>
      </c>
      <c r="F31" s="6">
        <f t="shared" si="0"/>
        <v>1</v>
      </c>
      <c r="G31" s="12">
        <v>1086.9100000000001</v>
      </c>
      <c r="H31" s="67">
        <f t="shared" si="2"/>
        <v>1086.9100000000001</v>
      </c>
      <c r="I31" s="67">
        <f>H31/F13/12</f>
        <v>8.1442101634971297E-3</v>
      </c>
      <c r="J31" s="68"/>
      <c r="K31" s="68"/>
      <c r="L31" s="68"/>
      <c r="M31" s="12">
        <v>1035.1500000000001</v>
      </c>
      <c r="N31" s="69">
        <f t="shared" si="3"/>
        <v>1086.9075</v>
      </c>
      <c r="IK31" s="34"/>
      <c r="IL31" s="34"/>
    </row>
    <row r="32" spans="1:246" s="33" customFormat="1" ht="26.25" x14ac:dyDescent="0.25">
      <c r="A32" s="2">
        <v>15</v>
      </c>
      <c r="B32" s="71" t="s">
        <v>37</v>
      </c>
      <c r="C32" s="65" t="s">
        <v>21</v>
      </c>
      <c r="D32" s="11">
        <f>D19+D23</f>
        <v>1077</v>
      </c>
      <c r="E32" s="74">
        <v>1</v>
      </c>
      <c r="F32" s="11">
        <f>D32*E32</f>
        <v>1077</v>
      </c>
      <c r="G32" s="12">
        <v>2.56</v>
      </c>
      <c r="H32" s="67">
        <f t="shared" si="2"/>
        <v>2757.12</v>
      </c>
      <c r="I32" s="67">
        <f>H32/F13/12</f>
        <v>2.0659083756687496E-2</v>
      </c>
      <c r="J32" s="68"/>
      <c r="K32" s="68"/>
      <c r="L32" s="68"/>
      <c r="M32" s="12">
        <v>2.44</v>
      </c>
      <c r="N32" s="69">
        <f t="shared" si="3"/>
        <v>2.5619999999999998</v>
      </c>
    </row>
    <row r="33" spans="1:246" s="33" customFormat="1" x14ac:dyDescent="0.25">
      <c r="A33" s="2">
        <v>16</v>
      </c>
      <c r="B33" s="58" t="s">
        <v>38</v>
      </c>
      <c r="C33" s="75"/>
      <c r="D33" s="76"/>
      <c r="E33" s="77"/>
      <c r="F33" s="62"/>
      <c r="G33" s="12"/>
      <c r="H33" s="67"/>
      <c r="I33" s="67"/>
      <c r="J33" s="68"/>
      <c r="K33" s="68"/>
      <c r="L33" s="68"/>
      <c r="M33" s="12"/>
      <c r="N33" s="69">
        <f t="shared" si="3"/>
        <v>0</v>
      </c>
      <c r="IK33" s="34"/>
      <c r="IL33" s="34"/>
    </row>
    <row r="34" spans="1:246" s="33" customFormat="1" x14ac:dyDescent="0.25">
      <c r="A34" s="2">
        <v>17</v>
      </c>
      <c r="B34" s="64" t="s">
        <v>39</v>
      </c>
      <c r="C34" s="65" t="s">
        <v>21</v>
      </c>
      <c r="D34" s="70">
        <v>434</v>
      </c>
      <c r="E34" s="66">
        <v>55</v>
      </c>
      <c r="F34" s="62">
        <f>E34*D34</f>
        <v>23870</v>
      </c>
      <c r="G34" s="12">
        <v>0.26</v>
      </c>
      <c r="H34" s="67">
        <f t="shared" si="2"/>
        <v>6206.2</v>
      </c>
      <c r="I34" s="67">
        <f>H34/F13/12</f>
        <v>4.6503019676602371E-2</v>
      </c>
      <c r="J34" s="68"/>
      <c r="K34" s="68"/>
      <c r="L34" s="68"/>
      <c r="M34" s="12">
        <v>0.25</v>
      </c>
      <c r="N34" s="69">
        <f t="shared" si="3"/>
        <v>0.26250000000000001</v>
      </c>
    </row>
    <row r="35" spans="1:246" s="33" customFormat="1" x14ac:dyDescent="0.25">
      <c r="A35" s="2">
        <v>18</v>
      </c>
      <c r="B35" s="64" t="s">
        <v>153</v>
      </c>
      <c r="C35" s="65" t="s">
        <v>115</v>
      </c>
      <c r="D35" s="70">
        <v>48</v>
      </c>
      <c r="E35" s="66">
        <v>1</v>
      </c>
      <c r="F35" s="62">
        <f>E35*D35</f>
        <v>48</v>
      </c>
      <c r="G35" s="12">
        <v>27.93</v>
      </c>
      <c r="H35" s="67">
        <f>F35*G35</f>
        <v>1340.6399999999999</v>
      </c>
      <c r="I35" s="67">
        <f>H35/F13/12</f>
        <v>1.004540754394641E-2</v>
      </c>
      <c r="J35" s="68"/>
      <c r="K35" s="68"/>
      <c r="L35" s="68"/>
      <c r="M35" s="12"/>
      <c r="N35" s="69"/>
    </row>
    <row r="36" spans="1:246" s="33" customFormat="1" x14ac:dyDescent="0.25">
      <c r="A36" s="2">
        <v>19</v>
      </c>
      <c r="B36" s="64" t="s">
        <v>154</v>
      </c>
      <c r="C36" s="65" t="s">
        <v>115</v>
      </c>
      <c r="D36" s="70">
        <v>8</v>
      </c>
      <c r="E36" s="66">
        <v>1</v>
      </c>
      <c r="F36" s="62">
        <f t="shared" ref="F36:F37" si="4">E36*D36</f>
        <v>8</v>
      </c>
      <c r="G36" s="12">
        <v>1634.16</v>
      </c>
      <c r="H36" s="67">
        <f>F36*G36</f>
        <v>13073.28</v>
      </c>
      <c r="I36" s="67">
        <f>H36/F13/12</f>
        <v>9.7958009261340642E-2</v>
      </c>
      <c r="J36" s="68"/>
      <c r="K36" s="68"/>
      <c r="L36" s="68"/>
      <c r="M36" s="12"/>
      <c r="N36" s="69"/>
    </row>
    <row r="37" spans="1:246" s="33" customFormat="1" x14ac:dyDescent="0.25">
      <c r="A37" s="2">
        <v>20</v>
      </c>
      <c r="B37" s="64" t="s">
        <v>155</v>
      </c>
      <c r="C37" s="65" t="s">
        <v>115</v>
      </c>
      <c r="D37" s="70">
        <v>8</v>
      </c>
      <c r="E37" s="66">
        <v>1</v>
      </c>
      <c r="F37" s="62">
        <f t="shared" si="4"/>
        <v>8</v>
      </c>
      <c r="G37" s="12">
        <v>1136.73</v>
      </c>
      <c r="H37" s="67">
        <f>F37*G37</f>
        <v>9093.84</v>
      </c>
      <c r="I37" s="67">
        <f>H37/F13/12</f>
        <v>6.8140089016769323E-2</v>
      </c>
      <c r="J37" s="68"/>
      <c r="K37" s="68"/>
      <c r="L37" s="68"/>
      <c r="M37" s="12"/>
      <c r="N37" s="69"/>
    </row>
    <row r="38" spans="1:246" s="80" customFormat="1" x14ac:dyDescent="0.25">
      <c r="A38" s="2">
        <v>21</v>
      </c>
      <c r="B38" s="13" t="s">
        <v>40</v>
      </c>
      <c r="C38" s="75"/>
      <c r="D38" s="76"/>
      <c r="E38" s="78"/>
      <c r="F38" s="79"/>
      <c r="G38" s="5"/>
      <c r="H38" s="7">
        <f>SUM(H19:H34)</f>
        <v>188071.55240000002</v>
      </c>
      <c r="I38" s="7">
        <f>SUM(I19:I37)</f>
        <v>1.5853625290353521</v>
      </c>
      <c r="J38" s="21">
        <v>1.6</v>
      </c>
      <c r="K38" s="21">
        <f>J38-I38</f>
        <v>1.4637470964647958E-2</v>
      </c>
      <c r="L38" s="21"/>
      <c r="M38" s="5"/>
      <c r="N38" s="69">
        <f t="shared" si="3"/>
        <v>0</v>
      </c>
    </row>
    <row r="39" spans="1:246" s="80" customFormat="1" ht="46.5" customHeight="1" x14ac:dyDescent="0.25">
      <c r="A39" s="2">
        <v>22</v>
      </c>
      <c r="B39" s="58" t="s">
        <v>41</v>
      </c>
      <c r="C39" s="75"/>
      <c r="D39" s="76"/>
      <c r="E39" s="78"/>
      <c r="F39" s="79"/>
      <c r="G39" s="5"/>
      <c r="H39" s="7"/>
      <c r="I39" s="67"/>
      <c r="J39" s="68"/>
      <c r="K39" s="68"/>
      <c r="L39" s="68"/>
      <c r="M39" s="5"/>
      <c r="N39" s="69">
        <f t="shared" si="3"/>
        <v>0</v>
      </c>
    </row>
    <row r="40" spans="1:246" s="33" customFormat="1" ht="15.75" customHeight="1" x14ac:dyDescent="0.25">
      <c r="A40" s="2">
        <v>23</v>
      </c>
      <c r="B40" s="58" t="s">
        <v>42</v>
      </c>
      <c r="C40" s="75"/>
      <c r="D40" s="76"/>
      <c r="E40" s="77"/>
      <c r="F40" s="62"/>
      <c r="G40" s="12"/>
      <c r="H40" s="67"/>
      <c r="I40" s="67"/>
      <c r="J40" s="68"/>
      <c r="K40" s="68"/>
      <c r="L40" s="68"/>
      <c r="M40" s="12"/>
      <c r="N40" s="69">
        <f t="shared" si="3"/>
        <v>0</v>
      </c>
    </row>
    <row r="41" spans="1:246" s="33" customFormat="1" x14ac:dyDescent="0.25">
      <c r="A41" s="2">
        <v>24</v>
      </c>
      <c r="B41" s="64" t="s">
        <v>43</v>
      </c>
      <c r="C41" s="65" t="s">
        <v>21</v>
      </c>
      <c r="D41" s="70">
        <v>4.2</v>
      </c>
      <c r="E41" s="66">
        <v>254</v>
      </c>
      <c r="F41" s="6">
        <f t="shared" ref="F41:F50" si="5">E41*D41</f>
        <v>1066.8</v>
      </c>
      <c r="G41" s="12">
        <v>2.02</v>
      </c>
      <c r="H41" s="67">
        <f t="shared" ref="H41" si="6">F41*G41</f>
        <v>2154.9360000000001</v>
      </c>
      <c r="I41" s="67">
        <f>H41/F13/12</f>
        <v>1.6146922627343435E-2</v>
      </c>
      <c r="J41" s="68"/>
      <c r="K41" s="68"/>
      <c r="L41" s="68"/>
      <c r="M41" s="12">
        <v>1.92</v>
      </c>
      <c r="N41" s="69">
        <f t="shared" si="3"/>
        <v>2.016</v>
      </c>
    </row>
    <row r="42" spans="1:246" s="33" customFormat="1" x14ac:dyDescent="0.25">
      <c r="A42" s="2">
        <v>25</v>
      </c>
      <c r="B42" s="64" t="s">
        <v>44</v>
      </c>
      <c r="C42" s="65" t="s">
        <v>21</v>
      </c>
      <c r="D42" s="70">
        <v>4.2</v>
      </c>
      <c r="E42" s="66">
        <v>254</v>
      </c>
      <c r="F42" s="6">
        <f t="shared" si="5"/>
        <v>1066.8</v>
      </c>
      <c r="G42" s="12">
        <v>4.63</v>
      </c>
      <c r="H42" s="67">
        <f t="shared" ref="H42:H52" si="7">F42*G42</f>
        <v>4939.2839999999997</v>
      </c>
      <c r="I42" s="67">
        <f>H42/F13/12</f>
        <v>3.7010025626039646E-2</v>
      </c>
      <c r="J42" s="68"/>
      <c r="K42" s="68"/>
      <c r="L42" s="68"/>
      <c r="M42" s="12">
        <v>4.41</v>
      </c>
      <c r="N42" s="69">
        <f t="shared" si="3"/>
        <v>4.6305000000000005</v>
      </c>
    </row>
    <row r="43" spans="1:246" s="33" customFormat="1" ht="26.25" x14ac:dyDescent="0.25">
      <c r="A43" s="2">
        <v>26</v>
      </c>
      <c r="B43" s="64" t="s">
        <v>45</v>
      </c>
      <c r="C43" s="65" t="s">
        <v>21</v>
      </c>
      <c r="D43" s="70">
        <f>11*4</f>
        <v>44</v>
      </c>
      <c r="E43" s="66">
        <v>12</v>
      </c>
      <c r="F43" s="6">
        <f t="shared" si="5"/>
        <v>528</v>
      </c>
      <c r="G43" s="12">
        <v>3.41</v>
      </c>
      <c r="H43" s="67">
        <f t="shared" si="7"/>
        <v>1800.48</v>
      </c>
      <c r="I43" s="67">
        <f>H43/F13/12</f>
        <v>1.3490985928157173E-2</v>
      </c>
      <c r="J43" s="68"/>
      <c r="K43" s="68"/>
      <c r="L43" s="68"/>
      <c r="M43" s="12">
        <v>3.25</v>
      </c>
      <c r="N43" s="69">
        <f t="shared" si="3"/>
        <v>3.4125000000000001</v>
      </c>
    </row>
    <row r="44" spans="1:246" s="33" customFormat="1" x14ac:dyDescent="0.25">
      <c r="A44" s="2">
        <v>27</v>
      </c>
      <c r="B44" s="71" t="s">
        <v>46</v>
      </c>
      <c r="C44" s="72" t="s">
        <v>21</v>
      </c>
      <c r="D44" s="11">
        <f>1*1*9*4</f>
        <v>36</v>
      </c>
      <c r="E44" s="66">
        <v>2</v>
      </c>
      <c r="F44" s="6">
        <f t="shared" si="5"/>
        <v>72</v>
      </c>
      <c r="G44" s="12">
        <v>157.5</v>
      </c>
      <c r="H44" s="67">
        <f t="shared" si="7"/>
        <v>11340</v>
      </c>
      <c r="I44" s="67">
        <f>H44/F13/12</f>
        <v>8.4970552533381302E-2</v>
      </c>
      <c r="J44" s="81"/>
      <c r="K44" s="81"/>
      <c r="L44" s="81"/>
      <c r="M44" s="12">
        <v>150</v>
      </c>
      <c r="N44" s="69">
        <f t="shared" si="3"/>
        <v>157.5</v>
      </c>
    </row>
    <row r="45" spans="1:246" s="33" customFormat="1" ht="26.25" x14ac:dyDescent="0.25">
      <c r="A45" s="2">
        <v>28</v>
      </c>
      <c r="B45" s="71" t="s">
        <v>47</v>
      </c>
      <c r="C45" s="65" t="s">
        <v>21</v>
      </c>
      <c r="D45" s="11">
        <f>1028.4/9*3</f>
        <v>342.80000000000007</v>
      </c>
      <c r="E45" s="66">
        <v>254</v>
      </c>
      <c r="F45" s="6">
        <f t="shared" si="5"/>
        <v>87071.200000000012</v>
      </c>
      <c r="G45" s="12">
        <v>2.39</v>
      </c>
      <c r="H45" s="67">
        <f t="shared" si="7"/>
        <v>208100.16800000003</v>
      </c>
      <c r="I45" s="67">
        <f>H45/F13/12</f>
        <v>1.5592933207451036</v>
      </c>
      <c r="J45" s="68"/>
      <c r="K45" s="68"/>
      <c r="L45" s="68"/>
      <c r="M45" s="12">
        <v>2.2799999999999998</v>
      </c>
      <c r="N45" s="69">
        <f t="shared" si="3"/>
        <v>2.3939999999999997</v>
      </c>
    </row>
    <row r="46" spans="1:246" s="33" customFormat="1" ht="26.25" x14ac:dyDescent="0.25">
      <c r="A46" s="2">
        <v>29</v>
      </c>
      <c r="B46" s="71" t="s">
        <v>48</v>
      </c>
      <c r="C46" s="65" t="s">
        <v>21</v>
      </c>
      <c r="D46" s="11">
        <f>1028.4/9*6</f>
        <v>685.60000000000014</v>
      </c>
      <c r="E46" s="66">
        <v>52</v>
      </c>
      <c r="F46" s="6">
        <f t="shared" si="5"/>
        <v>35651.200000000004</v>
      </c>
      <c r="G46" s="12">
        <v>2.09</v>
      </c>
      <c r="H46" s="67">
        <f t="shared" si="7"/>
        <v>74511.008000000002</v>
      </c>
      <c r="I46" s="67">
        <f>H46/F13/12</f>
        <v>0.55831053964543154</v>
      </c>
      <c r="J46" s="68"/>
      <c r="K46" s="68"/>
      <c r="L46" s="68"/>
      <c r="M46" s="12">
        <v>1.99</v>
      </c>
      <c r="N46" s="69">
        <f t="shared" si="3"/>
        <v>2.0895000000000001</v>
      </c>
    </row>
    <row r="47" spans="1:246" s="33" customFormat="1" x14ac:dyDescent="0.25">
      <c r="A47" s="2">
        <v>30</v>
      </c>
      <c r="B47" s="64" t="s">
        <v>49</v>
      </c>
      <c r="C47" s="65" t="s">
        <v>21</v>
      </c>
      <c r="D47" s="70">
        <f>1028.4/9</f>
        <v>114.26666666666668</v>
      </c>
      <c r="E47" s="66">
        <v>254</v>
      </c>
      <c r="F47" s="6">
        <f t="shared" si="5"/>
        <v>29023.733333333337</v>
      </c>
      <c r="G47" s="12">
        <v>2.81</v>
      </c>
      <c r="H47" s="67">
        <f t="shared" si="7"/>
        <v>81556.690666666676</v>
      </c>
      <c r="I47" s="67">
        <f>H47/F13/12</f>
        <v>0.61110379794891789</v>
      </c>
      <c r="J47" s="68"/>
      <c r="K47" s="68"/>
      <c r="L47" s="68"/>
      <c r="M47" s="12">
        <v>2.68</v>
      </c>
      <c r="N47" s="69">
        <f t="shared" si="3"/>
        <v>2.8140000000000001</v>
      </c>
    </row>
    <row r="48" spans="1:246" s="33" customFormat="1" ht="26.25" x14ac:dyDescent="0.25">
      <c r="A48" s="2">
        <v>31</v>
      </c>
      <c r="B48" s="64" t="s">
        <v>50</v>
      </c>
      <c r="C48" s="65" t="s">
        <v>21</v>
      </c>
      <c r="D48" s="70">
        <f>1028.4/9*8</f>
        <v>914.13333333333344</v>
      </c>
      <c r="E48" s="66">
        <v>26</v>
      </c>
      <c r="F48" s="6">
        <f t="shared" si="5"/>
        <v>23767.466666666671</v>
      </c>
      <c r="G48" s="12">
        <v>2.4500000000000002</v>
      </c>
      <c r="H48" s="67">
        <f t="shared" si="7"/>
        <v>58230.293333333349</v>
      </c>
      <c r="I48" s="67">
        <f>H48/F13/12</f>
        <v>0.43631924150918899</v>
      </c>
      <c r="J48" s="68"/>
      <c r="K48" s="68"/>
      <c r="L48" s="68"/>
      <c r="M48" s="12">
        <v>2.33</v>
      </c>
      <c r="N48" s="69">
        <f t="shared" si="3"/>
        <v>2.4464999999999999</v>
      </c>
    </row>
    <row r="49" spans="1:14" s="33" customFormat="1" x14ac:dyDescent="0.25">
      <c r="A49" s="2">
        <v>32</v>
      </c>
      <c r="B49" s="64" t="s">
        <v>51</v>
      </c>
      <c r="C49" s="65" t="s">
        <v>21</v>
      </c>
      <c r="D49" s="70">
        <f>5*4</f>
        <v>20</v>
      </c>
      <c r="E49" s="66">
        <v>254</v>
      </c>
      <c r="F49" s="6">
        <f t="shared" si="5"/>
        <v>5080</v>
      </c>
      <c r="G49" s="12">
        <v>2.81</v>
      </c>
      <c r="H49" s="67">
        <f t="shared" si="7"/>
        <v>14274.800000000001</v>
      </c>
      <c r="I49" s="67">
        <f>H49/F13/12</f>
        <v>0.10696099147297278</v>
      </c>
      <c r="J49" s="68"/>
      <c r="K49" s="68"/>
      <c r="L49" s="68"/>
      <c r="M49" s="12">
        <v>2.68</v>
      </c>
      <c r="N49" s="69">
        <f t="shared" si="3"/>
        <v>2.8140000000000001</v>
      </c>
    </row>
    <row r="50" spans="1:14" s="33" customFormat="1" x14ac:dyDescent="0.25">
      <c r="A50" s="2">
        <v>33</v>
      </c>
      <c r="B50" s="82" t="s">
        <v>52</v>
      </c>
      <c r="C50" s="72" t="s">
        <v>21</v>
      </c>
      <c r="D50" s="11">
        <v>1028.4000000000001</v>
      </c>
      <c r="E50" s="66">
        <v>2</v>
      </c>
      <c r="F50" s="6">
        <f t="shared" si="5"/>
        <v>2056.8000000000002</v>
      </c>
      <c r="G50" s="12">
        <v>2.17</v>
      </c>
      <c r="H50" s="67">
        <f t="shared" si="7"/>
        <v>4463.2560000000003</v>
      </c>
      <c r="I50" s="67">
        <f>H50/F13/12</f>
        <v>3.344315065413838E-2</v>
      </c>
      <c r="J50" s="81"/>
      <c r="K50" s="81"/>
      <c r="L50" s="81"/>
      <c r="M50" s="12">
        <v>2.0699999999999998</v>
      </c>
      <c r="N50" s="69">
        <f t="shared" si="3"/>
        <v>2.1734999999999998</v>
      </c>
    </row>
    <row r="51" spans="1:14" s="33" customFormat="1" ht="26.25" x14ac:dyDescent="0.25">
      <c r="A51" s="2">
        <v>34</v>
      </c>
      <c r="B51" s="58" t="s">
        <v>53</v>
      </c>
      <c r="C51" s="75"/>
      <c r="D51" s="76"/>
      <c r="E51" s="78"/>
      <c r="F51" s="6"/>
      <c r="G51" s="12"/>
      <c r="H51" s="67"/>
      <c r="I51" s="67"/>
      <c r="J51" s="68"/>
      <c r="K51" s="68"/>
      <c r="L51" s="68"/>
      <c r="M51" s="12"/>
      <c r="N51" s="69">
        <f t="shared" si="3"/>
        <v>0</v>
      </c>
    </row>
    <row r="52" spans="1:14" s="33" customFormat="1" x14ac:dyDescent="0.25">
      <c r="A52" s="2">
        <v>35</v>
      </c>
      <c r="B52" s="83" t="s">
        <v>54</v>
      </c>
      <c r="C52" s="65" t="s">
        <v>21</v>
      </c>
      <c r="D52" s="70">
        <f>1*9*4+(3*0.07*2+3*0.05*2)*2*9*4+1*2*4*2</f>
        <v>103.84</v>
      </c>
      <c r="E52" s="66">
        <v>12</v>
      </c>
      <c r="F52" s="6">
        <f>E52*D52</f>
        <v>1246.08</v>
      </c>
      <c r="G52" s="12">
        <v>4.0199999999999996</v>
      </c>
      <c r="H52" s="67">
        <f t="shared" si="7"/>
        <v>5009.2415999999994</v>
      </c>
      <c r="I52" s="67">
        <f>H52/F13/12</f>
        <v>3.7534217506631294E-2</v>
      </c>
      <c r="J52" s="68"/>
      <c r="K52" s="68"/>
      <c r="L52" s="68"/>
      <c r="M52" s="12">
        <v>3.83</v>
      </c>
      <c r="N52" s="69">
        <f t="shared" si="3"/>
        <v>4.0214999999999996</v>
      </c>
    </row>
    <row r="53" spans="1:14" s="80" customFormat="1" x14ac:dyDescent="0.25">
      <c r="A53" s="2">
        <v>36</v>
      </c>
      <c r="B53" s="13" t="s">
        <v>40</v>
      </c>
      <c r="C53" s="75"/>
      <c r="D53" s="76"/>
      <c r="E53" s="76"/>
      <c r="F53" s="79"/>
      <c r="G53" s="5"/>
      <c r="H53" s="79">
        <f>SUM(H41:H52)</f>
        <v>466380.15760000004</v>
      </c>
      <c r="I53" s="79">
        <f>SUM(I41:I52)</f>
        <v>3.4945837461973062</v>
      </c>
      <c r="J53" s="21">
        <v>3.77</v>
      </c>
      <c r="K53" s="21">
        <f>J53-I53</f>
        <v>0.27541625380269386</v>
      </c>
      <c r="L53" s="21"/>
      <c r="M53" s="5"/>
      <c r="N53" s="69">
        <f t="shared" si="3"/>
        <v>0</v>
      </c>
    </row>
    <row r="54" spans="1:14" s="80" customFormat="1" ht="31.5" customHeight="1" x14ac:dyDescent="0.25">
      <c r="A54" s="2">
        <v>37</v>
      </c>
      <c r="B54" s="58" t="s">
        <v>55</v>
      </c>
      <c r="C54" s="75"/>
      <c r="D54" s="76"/>
      <c r="E54" s="76"/>
      <c r="F54" s="79"/>
      <c r="G54" s="5"/>
      <c r="H54" s="79"/>
      <c r="I54" s="67"/>
      <c r="J54" s="68"/>
      <c r="K54" s="68"/>
      <c r="L54" s="68"/>
      <c r="M54" s="5"/>
      <c r="N54" s="69">
        <f t="shared" si="3"/>
        <v>0</v>
      </c>
    </row>
    <row r="55" spans="1:14" s="33" customFormat="1" ht="36.75" customHeight="1" x14ac:dyDescent="0.25">
      <c r="A55" s="2">
        <v>38</v>
      </c>
      <c r="B55" s="58" t="s">
        <v>56</v>
      </c>
      <c r="C55" s="75"/>
      <c r="D55" s="76"/>
      <c r="E55" s="76"/>
      <c r="F55" s="62"/>
      <c r="G55" s="12"/>
      <c r="H55" s="67"/>
      <c r="I55" s="67"/>
      <c r="J55" s="68"/>
      <c r="K55" s="68"/>
      <c r="L55" s="68"/>
      <c r="M55" s="12"/>
      <c r="N55" s="69">
        <f t="shared" si="3"/>
        <v>0</v>
      </c>
    </row>
    <row r="56" spans="1:14" s="33" customFormat="1" x14ac:dyDescent="0.25">
      <c r="A56" s="2">
        <v>39</v>
      </c>
      <c r="B56" s="64" t="s">
        <v>57</v>
      </c>
      <c r="C56" s="65" t="s">
        <v>21</v>
      </c>
      <c r="D56" s="11">
        <v>1176.92</v>
      </c>
      <c r="E56" s="84">
        <v>0.03</v>
      </c>
      <c r="F56" s="62">
        <f>E56*D56</f>
        <v>35.307600000000001</v>
      </c>
      <c r="G56" s="12">
        <v>189.33</v>
      </c>
      <c r="H56" s="67">
        <f t="shared" ref="H56" si="8">F56*G56</f>
        <v>6684.7879080000002</v>
      </c>
      <c r="I56" s="67">
        <f>H56/F13/12</f>
        <v>5.0089076023917635E-2</v>
      </c>
      <c r="J56" s="68"/>
      <c r="K56" s="68"/>
      <c r="L56" s="68"/>
      <c r="M56" s="12">
        <v>180.31</v>
      </c>
      <c r="N56" s="69">
        <f t="shared" si="3"/>
        <v>189.32550000000001</v>
      </c>
    </row>
    <row r="57" spans="1:14" s="33" customFormat="1" x14ac:dyDescent="0.25">
      <c r="A57" s="2">
        <v>40</v>
      </c>
      <c r="B57" s="64" t="s">
        <v>58</v>
      </c>
      <c r="C57" s="65" t="s">
        <v>21</v>
      </c>
      <c r="D57" s="11">
        <f>1176.92*2</f>
        <v>2353.84</v>
      </c>
      <c r="E57" s="85">
        <v>4</v>
      </c>
      <c r="F57" s="62">
        <f>E57*D57</f>
        <v>9415.36</v>
      </c>
      <c r="G57" s="12">
        <v>1.96</v>
      </c>
      <c r="H57" s="67">
        <f t="shared" ref="H57:H63" si="9">F57*G57</f>
        <v>18454.105600000003</v>
      </c>
      <c r="I57" s="67">
        <f>H57/F13/12</f>
        <v>0.13827650346925627</v>
      </c>
      <c r="J57" s="68"/>
      <c r="K57" s="68"/>
      <c r="L57" s="68"/>
      <c r="M57" s="12">
        <v>1.87</v>
      </c>
      <c r="N57" s="69">
        <f t="shared" si="3"/>
        <v>1.9635</v>
      </c>
    </row>
    <row r="58" spans="1:14" s="33" customFormat="1" x14ac:dyDescent="0.25">
      <c r="A58" s="2">
        <v>41</v>
      </c>
      <c r="B58" s="64" t="s">
        <v>59</v>
      </c>
      <c r="C58" s="65" t="s">
        <v>21</v>
      </c>
      <c r="D58" s="11">
        <v>1176.92</v>
      </c>
      <c r="E58" s="85">
        <v>2</v>
      </c>
      <c r="F58" s="62">
        <f>E58*D58</f>
        <v>2353.84</v>
      </c>
      <c r="G58" s="12">
        <v>1.6</v>
      </c>
      <c r="H58" s="67">
        <f t="shared" si="9"/>
        <v>3766.1440000000002</v>
      </c>
      <c r="I58" s="67">
        <f>H58/F13/12</f>
        <v>2.8219694585562501E-2</v>
      </c>
      <c r="J58" s="68"/>
      <c r="K58" s="68"/>
      <c r="L58" s="68"/>
      <c r="M58" s="12">
        <v>1.52</v>
      </c>
      <c r="N58" s="69">
        <f t="shared" si="3"/>
        <v>1.5960000000000001</v>
      </c>
    </row>
    <row r="59" spans="1:14" s="33" customFormat="1" ht="16.899999999999999" customHeight="1" x14ac:dyDescent="0.25">
      <c r="A59" s="2">
        <v>42</v>
      </c>
      <c r="B59" s="86" t="s">
        <v>60</v>
      </c>
      <c r="C59" s="87"/>
      <c r="D59" s="88"/>
      <c r="E59" s="88"/>
      <c r="F59" s="62"/>
      <c r="G59" s="12"/>
      <c r="H59" s="67"/>
      <c r="I59" s="67"/>
      <c r="J59" s="68"/>
      <c r="K59" s="68"/>
      <c r="L59" s="68"/>
      <c r="M59" s="12"/>
      <c r="N59" s="69">
        <f t="shared" si="3"/>
        <v>0</v>
      </c>
    </row>
    <row r="60" spans="1:14" s="33" customFormat="1" ht="26.25" customHeight="1" x14ac:dyDescent="0.25">
      <c r="A60" s="2">
        <v>43</v>
      </c>
      <c r="B60" s="64" t="s">
        <v>61</v>
      </c>
      <c r="C60" s="65" t="s">
        <v>21</v>
      </c>
      <c r="D60" s="11">
        <v>36</v>
      </c>
      <c r="E60" s="84">
        <v>0.1</v>
      </c>
      <c r="F60" s="62">
        <f>E60*D60</f>
        <v>3.6</v>
      </c>
      <c r="G60" s="12">
        <v>1678.56</v>
      </c>
      <c r="H60" s="67">
        <f t="shared" si="9"/>
        <v>6042.8159999999998</v>
      </c>
      <c r="I60" s="67">
        <f>H60/F13/12</f>
        <v>4.5278784336645235E-2</v>
      </c>
      <c r="J60" s="68"/>
      <c r="K60" s="68"/>
      <c r="L60" s="68"/>
      <c r="M60" s="12">
        <v>1598.63</v>
      </c>
      <c r="N60" s="69">
        <f t="shared" si="3"/>
        <v>1678.5615</v>
      </c>
    </row>
    <row r="61" spans="1:14" s="33" customFormat="1" x14ac:dyDescent="0.25">
      <c r="A61" s="2">
        <v>44</v>
      </c>
      <c r="B61" s="64" t="s">
        <v>62</v>
      </c>
      <c r="C61" s="65" t="s">
        <v>24</v>
      </c>
      <c r="D61" s="11">
        <f>4*3+4*9</f>
        <v>48</v>
      </c>
      <c r="E61" s="84">
        <v>0.2</v>
      </c>
      <c r="F61" s="62">
        <f>E61*D61</f>
        <v>9.6000000000000014</v>
      </c>
      <c r="G61" s="12">
        <v>234.54</v>
      </c>
      <c r="H61" s="67">
        <f t="shared" si="9"/>
        <v>2251.5840000000003</v>
      </c>
      <c r="I61" s="67">
        <f>H61/F13/12</f>
        <v>1.6871105516342223E-2</v>
      </c>
      <c r="J61" s="68"/>
      <c r="K61" s="68"/>
      <c r="L61" s="68"/>
      <c r="M61" s="12">
        <v>223.37</v>
      </c>
      <c r="N61" s="69">
        <f t="shared" si="3"/>
        <v>234.5385</v>
      </c>
    </row>
    <row r="62" spans="1:14" s="33" customFormat="1" x14ac:dyDescent="0.25">
      <c r="A62" s="2">
        <v>45</v>
      </c>
      <c r="B62" s="64" t="s">
        <v>63</v>
      </c>
      <c r="C62" s="65" t="s">
        <v>24</v>
      </c>
      <c r="D62" s="11">
        <v>5</v>
      </c>
      <c r="E62" s="84">
        <v>0.15</v>
      </c>
      <c r="F62" s="62">
        <f>E62*D62</f>
        <v>0.75</v>
      </c>
      <c r="G62" s="12">
        <v>646</v>
      </c>
      <c r="H62" s="67">
        <f t="shared" si="9"/>
        <v>484.5</v>
      </c>
      <c r="I62" s="67">
        <f>H62/F13/12</f>
        <v>3.6303556174976399E-3</v>
      </c>
      <c r="J62" s="68"/>
      <c r="K62" s="68"/>
      <c r="L62" s="68"/>
      <c r="M62" s="12">
        <v>615.24</v>
      </c>
      <c r="N62" s="69">
        <f t="shared" si="3"/>
        <v>646.00199999999995</v>
      </c>
    </row>
    <row r="63" spans="1:14" s="33" customFormat="1" x14ac:dyDescent="0.25">
      <c r="A63" s="2">
        <v>46</v>
      </c>
      <c r="B63" s="89" t="s">
        <v>64</v>
      </c>
      <c r="C63" s="90" t="s">
        <v>24</v>
      </c>
      <c r="D63" s="11">
        <v>5</v>
      </c>
      <c r="E63" s="84">
        <v>0.2</v>
      </c>
      <c r="F63" s="62">
        <f>E63*D63</f>
        <v>1</v>
      </c>
      <c r="G63" s="12">
        <v>134.85</v>
      </c>
      <c r="H63" s="67">
        <f t="shared" si="9"/>
        <v>134.85</v>
      </c>
      <c r="I63" s="67">
        <f>H63/F13/12</f>
        <v>1.0104302477183832E-3</v>
      </c>
      <c r="J63" s="68"/>
      <c r="K63" s="68"/>
      <c r="L63" s="68"/>
      <c r="M63" s="12">
        <v>128.43</v>
      </c>
      <c r="N63" s="69">
        <f t="shared" si="3"/>
        <v>134.85150000000002</v>
      </c>
    </row>
    <row r="64" spans="1:14" s="80" customFormat="1" x14ac:dyDescent="0.25">
      <c r="A64" s="2">
        <v>47</v>
      </c>
      <c r="B64" s="91" t="s">
        <v>40</v>
      </c>
      <c r="C64" s="87"/>
      <c r="D64" s="4"/>
      <c r="E64" s="88"/>
      <c r="F64" s="79"/>
      <c r="G64" s="5"/>
      <c r="H64" s="7">
        <f>SUM(H56:H63)</f>
        <v>37818.787508000001</v>
      </c>
      <c r="I64" s="7">
        <f>SUM(I56:I63)</f>
        <v>0.28337594979693992</v>
      </c>
      <c r="J64" s="21">
        <v>0.31</v>
      </c>
      <c r="K64" s="21">
        <f>J64-I64</f>
        <v>2.6624050203060079E-2</v>
      </c>
      <c r="L64" s="21"/>
      <c r="M64" s="5"/>
      <c r="N64" s="69">
        <f t="shared" si="3"/>
        <v>0</v>
      </c>
    </row>
    <row r="65" spans="1:14" s="80" customFormat="1" ht="39" x14ac:dyDescent="0.25">
      <c r="A65" s="2">
        <v>48</v>
      </c>
      <c r="B65" s="3" t="s">
        <v>65</v>
      </c>
      <c r="C65" s="87"/>
      <c r="D65" s="4"/>
      <c r="E65" s="88"/>
      <c r="F65" s="79"/>
      <c r="G65" s="5"/>
      <c r="H65" s="7"/>
      <c r="I65" s="67"/>
      <c r="J65" s="68"/>
      <c r="K65" s="68"/>
      <c r="L65" s="68"/>
      <c r="M65" s="5"/>
      <c r="N65" s="69">
        <f t="shared" si="3"/>
        <v>0</v>
      </c>
    </row>
    <row r="66" spans="1:14" s="33" customFormat="1" ht="20.85" customHeight="1" x14ac:dyDescent="0.25">
      <c r="A66" s="2">
        <v>49</v>
      </c>
      <c r="B66" s="86" t="s">
        <v>66</v>
      </c>
      <c r="C66" s="87"/>
      <c r="D66" s="92"/>
      <c r="E66" s="88"/>
      <c r="F66" s="62"/>
      <c r="G66" s="12"/>
      <c r="H66" s="67"/>
      <c r="I66" s="67"/>
      <c r="J66" s="68"/>
      <c r="K66" s="68"/>
      <c r="L66" s="68"/>
      <c r="M66" s="12"/>
      <c r="N66" s="69">
        <f t="shared" si="3"/>
        <v>0</v>
      </c>
    </row>
    <row r="67" spans="1:14" s="33" customFormat="1" ht="29.25" customHeight="1" x14ac:dyDescent="0.25">
      <c r="A67" s="2">
        <v>50</v>
      </c>
      <c r="B67" s="64" t="s">
        <v>67</v>
      </c>
      <c r="C67" s="65" t="s">
        <v>68</v>
      </c>
      <c r="D67" s="11">
        <f>43484/100</f>
        <v>434.84</v>
      </c>
      <c r="E67" s="85">
        <v>1</v>
      </c>
      <c r="F67" s="62">
        <f t="shared" ref="F67:F72" si="10">E67*D67</f>
        <v>434.84</v>
      </c>
      <c r="G67" s="12">
        <v>186.65</v>
      </c>
      <c r="H67" s="67">
        <f t="shared" ref="H67" si="11">F67*G67</f>
        <v>81162.885999999999</v>
      </c>
      <c r="I67" s="67">
        <f>H67/F13/12</f>
        <v>0.6081530219245006</v>
      </c>
      <c r="J67" s="68"/>
      <c r="K67" s="68"/>
      <c r="L67" s="68"/>
      <c r="M67" s="12">
        <v>177.76</v>
      </c>
      <c r="N67" s="69">
        <f t="shared" si="3"/>
        <v>186.648</v>
      </c>
    </row>
    <row r="68" spans="1:14" s="33" customFormat="1" ht="26.25" x14ac:dyDescent="0.25">
      <c r="A68" s="2">
        <v>51</v>
      </c>
      <c r="B68" s="64" t="s">
        <v>69</v>
      </c>
      <c r="C68" s="65" t="s">
        <v>70</v>
      </c>
      <c r="D68" s="70">
        <v>12.09</v>
      </c>
      <c r="E68" s="85">
        <v>1</v>
      </c>
      <c r="F68" s="62">
        <f t="shared" si="10"/>
        <v>12.09</v>
      </c>
      <c r="G68" s="12">
        <v>592.71</v>
      </c>
      <c r="H68" s="67">
        <f t="shared" ref="H68:H107" si="12">F68*G68</f>
        <v>7165.8639000000003</v>
      </c>
      <c r="I68" s="67">
        <f>H68/F13/12</f>
        <v>5.36937755698422E-2</v>
      </c>
      <c r="J68" s="68"/>
      <c r="K68" s="68"/>
      <c r="L68" s="68"/>
      <c r="M68" s="12">
        <v>564.49</v>
      </c>
      <c r="N68" s="69">
        <f t="shared" si="3"/>
        <v>592.71450000000004</v>
      </c>
    </row>
    <row r="69" spans="1:14" s="33" customFormat="1" x14ac:dyDescent="0.25">
      <c r="A69" s="2">
        <v>52</v>
      </c>
      <c r="B69" s="64" t="s">
        <v>71</v>
      </c>
      <c r="C69" s="65" t="s">
        <v>70</v>
      </c>
      <c r="D69" s="70">
        <v>12.09</v>
      </c>
      <c r="E69" s="85">
        <v>1</v>
      </c>
      <c r="F69" s="62">
        <f t="shared" si="10"/>
        <v>12.09</v>
      </c>
      <c r="G69" s="12">
        <v>286.39999999999998</v>
      </c>
      <c r="H69" s="67">
        <f t="shared" si="12"/>
        <v>3462.5759999999996</v>
      </c>
      <c r="I69" s="67">
        <f>H69/F13/12</f>
        <v>2.5945061367621272E-2</v>
      </c>
      <c r="J69" s="68"/>
      <c r="K69" s="68"/>
      <c r="L69" s="68"/>
      <c r="M69" s="12">
        <v>272.76</v>
      </c>
      <c r="N69" s="69">
        <f t="shared" si="3"/>
        <v>286.39799999999997</v>
      </c>
    </row>
    <row r="70" spans="1:14" s="33" customFormat="1" ht="15" customHeight="1" x14ac:dyDescent="0.25">
      <c r="A70" s="2">
        <v>53</v>
      </c>
      <c r="B70" s="64" t="s">
        <v>72</v>
      </c>
      <c r="C70" s="65" t="s">
        <v>70</v>
      </c>
      <c r="D70" s="70">
        <v>12.09</v>
      </c>
      <c r="E70" s="85">
        <v>1</v>
      </c>
      <c r="F70" s="62">
        <f t="shared" si="10"/>
        <v>12.09</v>
      </c>
      <c r="G70" s="12">
        <v>559.88</v>
      </c>
      <c r="H70" s="67">
        <f t="shared" si="12"/>
        <v>6768.9492</v>
      </c>
      <c r="I70" s="67">
        <f>H70/F13/12</f>
        <v>5.0719696084161305E-2</v>
      </c>
      <c r="J70" s="68"/>
      <c r="K70" s="68"/>
      <c r="L70" s="68"/>
      <c r="M70" s="12">
        <v>533.22</v>
      </c>
      <c r="N70" s="69">
        <f t="shared" si="3"/>
        <v>559.88100000000009</v>
      </c>
    </row>
    <row r="71" spans="1:14" s="33" customFormat="1" ht="15" customHeight="1" x14ac:dyDescent="0.25">
      <c r="A71" s="2">
        <v>54</v>
      </c>
      <c r="B71" s="71" t="s">
        <v>73</v>
      </c>
      <c r="C71" s="72" t="s">
        <v>74</v>
      </c>
      <c r="D71" s="11">
        <f>(2*2+2*2)*2</f>
        <v>16</v>
      </c>
      <c r="E71" s="85">
        <v>26</v>
      </c>
      <c r="F71" s="6">
        <f t="shared" si="10"/>
        <v>416</v>
      </c>
      <c r="G71" s="12">
        <v>123.46</v>
      </c>
      <c r="H71" s="67">
        <f t="shared" si="12"/>
        <v>51359.360000000001</v>
      </c>
      <c r="I71" s="67">
        <f>H71/F13/12</f>
        <v>0.38483537892070913</v>
      </c>
      <c r="J71" s="68"/>
      <c r="K71" s="68"/>
      <c r="L71" s="68"/>
      <c r="M71" s="12">
        <v>117.58</v>
      </c>
      <c r="N71" s="69">
        <f t="shared" si="3"/>
        <v>123.459</v>
      </c>
    </row>
    <row r="72" spans="1:14" s="33" customFormat="1" ht="16.899999999999999" customHeight="1" x14ac:dyDescent="0.25">
      <c r="A72" s="2">
        <v>55</v>
      </c>
      <c r="B72" s="71" t="s">
        <v>75</v>
      </c>
      <c r="C72" s="72" t="s">
        <v>24</v>
      </c>
      <c r="D72" s="11">
        <f>8*2</f>
        <v>16</v>
      </c>
      <c r="E72" s="85">
        <v>1</v>
      </c>
      <c r="F72" s="6">
        <f t="shared" si="10"/>
        <v>16</v>
      </c>
      <c r="G72" s="12">
        <v>531.41999999999996</v>
      </c>
      <c r="H72" s="67">
        <f t="shared" si="12"/>
        <v>8502.7199999999993</v>
      </c>
      <c r="I72" s="67">
        <f>H72/F13/12</f>
        <v>6.3710830373600674E-2</v>
      </c>
      <c r="J72" s="68"/>
      <c r="K72" s="68"/>
      <c r="L72" s="68"/>
      <c r="M72" s="12">
        <v>506.11</v>
      </c>
      <c r="N72" s="69">
        <f t="shared" si="3"/>
        <v>531.41550000000007</v>
      </c>
    </row>
    <row r="73" spans="1:14" s="33" customFormat="1" ht="16.899999999999999" customHeight="1" x14ac:dyDescent="0.25">
      <c r="A73" s="2">
        <v>56</v>
      </c>
      <c r="B73" s="82" t="s">
        <v>76</v>
      </c>
      <c r="C73" s="72" t="s">
        <v>77</v>
      </c>
      <c r="D73" s="11">
        <v>64</v>
      </c>
      <c r="E73" s="12">
        <v>0.1</v>
      </c>
      <c r="F73" s="11">
        <f>D73*E73</f>
        <v>6.4</v>
      </c>
      <c r="G73" s="93">
        <v>494.83</v>
      </c>
      <c r="H73" s="67">
        <f t="shared" si="12"/>
        <v>3166.9120000000003</v>
      </c>
      <c r="I73" s="67">
        <f>H73/F13/12</f>
        <v>2.3729652774655701E-2</v>
      </c>
      <c r="J73" s="68"/>
      <c r="K73" s="68"/>
      <c r="L73" s="68"/>
      <c r="M73" s="93">
        <v>471.27</v>
      </c>
      <c r="N73" s="69">
        <f t="shared" si="3"/>
        <v>494.83349999999996</v>
      </c>
    </row>
    <row r="74" spans="1:14" s="33" customFormat="1" ht="16.899999999999999" customHeight="1" x14ac:dyDescent="0.25">
      <c r="A74" s="2">
        <v>57</v>
      </c>
      <c r="B74" s="82" t="s">
        <v>78</v>
      </c>
      <c r="C74" s="72" t="s">
        <v>77</v>
      </c>
      <c r="D74" s="11">
        <v>64</v>
      </c>
      <c r="E74" s="12">
        <v>0.05</v>
      </c>
      <c r="F74" s="11">
        <f>D74*E74</f>
        <v>3.2</v>
      </c>
      <c r="G74" s="93">
        <v>851.29</v>
      </c>
      <c r="H74" s="67">
        <f t="shared" si="12"/>
        <v>2724.1280000000002</v>
      </c>
      <c r="I74" s="67">
        <f>H74/F13/12</f>
        <v>2.0411874896971334E-2</v>
      </c>
      <c r="J74" s="68"/>
      <c r="K74" s="68"/>
      <c r="L74" s="68"/>
      <c r="M74" s="93">
        <v>810.75</v>
      </c>
      <c r="N74" s="69">
        <f t="shared" si="3"/>
        <v>851.28750000000002</v>
      </c>
    </row>
    <row r="75" spans="1:14" s="33" customFormat="1" x14ac:dyDescent="0.25">
      <c r="A75" s="2">
        <v>58</v>
      </c>
      <c r="B75" s="64" t="s">
        <v>79</v>
      </c>
      <c r="C75" s="65" t="s">
        <v>80</v>
      </c>
      <c r="D75" s="70"/>
      <c r="E75" s="94"/>
      <c r="F75" s="62"/>
      <c r="G75" s="12"/>
      <c r="H75" s="67"/>
      <c r="I75" s="67"/>
      <c r="J75" s="68"/>
      <c r="K75" s="68"/>
      <c r="L75" s="68"/>
      <c r="M75" s="12"/>
      <c r="N75" s="69">
        <f t="shared" si="3"/>
        <v>0</v>
      </c>
    </row>
    <row r="76" spans="1:14" s="33" customFormat="1" x14ac:dyDescent="0.25">
      <c r="A76" s="2">
        <v>59</v>
      </c>
      <c r="B76" s="95" t="s">
        <v>81</v>
      </c>
      <c r="C76" s="65" t="s">
        <v>80</v>
      </c>
      <c r="D76" s="70">
        <v>261.39999999999998</v>
      </c>
      <c r="E76" s="84">
        <v>0.05</v>
      </c>
      <c r="F76" s="6">
        <f t="shared" ref="F76:F81" si="13">E76*D76</f>
        <v>13.07</v>
      </c>
      <c r="G76" s="12">
        <v>96.69</v>
      </c>
      <c r="H76" s="67">
        <f t="shared" si="12"/>
        <v>1263.7383</v>
      </c>
      <c r="I76" s="67">
        <f>H76/F13/12</f>
        <v>9.4691835633682504E-3</v>
      </c>
      <c r="J76" s="68"/>
      <c r="K76" s="68"/>
      <c r="L76" s="68"/>
      <c r="M76" s="12">
        <v>92.09</v>
      </c>
      <c r="N76" s="69">
        <f t="shared" si="3"/>
        <v>96.694500000000005</v>
      </c>
    </row>
    <row r="77" spans="1:14" s="33" customFormat="1" x14ac:dyDescent="0.25">
      <c r="A77" s="2">
        <v>60</v>
      </c>
      <c r="B77" s="95" t="s">
        <v>82</v>
      </c>
      <c r="C77" s="65" t="s">
        <v>83</v>
      </c>
      <c r="D77" s="70">
        <v>241</v>
      </c>
      <c r="E77" s="84">
        <v>0.05</v>
      </c>
      <c r="F77" s="6">
        <f t="shared" si="13"/>
        <v>12.05</v>
      </c>
      <c r="G77" s="12">
        <v>105.82</v>
      </c>
      <c r="H77" s="67">
        <f t="shared" si="12"/>
        <v>1275.1310000000001</v>
      </c>
      <c r="I77" s="67">
        <f>H77/F13/12</f>
        <v>9.5545489966880979E-3</v>
      </c>
      <c r="J77" s="68"/>
      <c r="K77" s="68"/>
      <c r="L77" s="68"/>
      <c r="M77" s="12">
        <v>100.78</v>
      </c>
      <c r="N77" s="69">
        <f t="shared" si="3"/>
        <v>105.819</v>
      </c>
    </row>
    <row r="78" spans="1:14" s="33" customFormat="1" x14ac:dyDescent="0.25">
      <c r="A78" s="2">
        <v>61</v>
      </c>
      <c r="B78" s="95" t="s">
        <v>84</v>
      </c>
      <c r="C78" s="65" t="s">
        <v>80</v>
      </c>
      <c r="D78" s="70">
        <v>141</v>
      </c>
      <c r="E78" s="84">
        <v>0.05</v>
      </c>
      <c r="F78" s="6">
        <f t="shared" si="13"/>
        <v>7.0500000000000007</v>
      </c>
      <c r="G78" s="12">
        <v>120.93</v>
      </c>
      <c r="H78" s="67">
        <f t="shared" si="12"/>
        <v>852.55650000000014</v>
      </c>
      <c r="I78" s="67">
        <f>H78/F13/12</f>
        <v>6.3882007822685799E-3</v>
      </c>
      <c r="J78" s="68"/>
      <c r="K78" s="68"/>
      <c r="L78" s="68"/>
      <c r="M78" s="12">
        <v>115.17</v>
      </c>
      <c r="N78" s="69">
        <f t="shared" si="3"/>
        <v>120.9285</v>
      </c>
    </row>
    <row r="79" spans="1:14" s="33" customFormat="1" x14ac:dyDescent="0.25">
      <c r="A79" s="2">
        <v>62</v>
      </c>
      <c r="B79" s="95" t="s">
        <v>85</v>
      </c>
      <c r="C79" s="65" t="s">
        <v>86</v>
      </c>
      <c r="D79" s="70">
        <v>1</v>
      </c>
      <c r="E79" s="85">
        <v>254</v>
      </c>
      <c r="F79" s="6">
        <f t="shared" si="13"/>
        <v>254</v>
      </c>
      <c r="G79" s="12">
        <v>16.8</v>
      </c>
      <c r="H79" s="67">
        <f t="shared" si="12"/>
        <v>4267.2</v>
      </c>
      <c r="I79" s="67">
        <f>H79/F13/12</f>
        <v>3.1974104212561257E-2</v>
      </c>
      <c r="J79" s="68"/>
      <c r="K79" s="68"/>
      <c r="L79" s="68"/>
      <c r="M79" s="12">
        <v>16</v>
      </c>
      <c r="N79" s="69">
        <f t="shared" si="3"/>
        <v>16.8</v>
      </c>
    </row>
    <row r="80" spans="1:14" s="33" customFormat="1" ht="26.25" x14ac:dyDescent="0.25">
      <c r="A80" s="2">
        <v>63</v>
      </c>
      <c r="B80" s="95" t="s">
        <v>87</v>
      </c>
      <c r="C80" s="65" t="s">
        <v>88</v>
      </c>
      <c r="D80" s="70">
        <v>4</v>
      </c>
      <c r="E80" s="85">
        <v>1</v>
      </c>
      <c r="F80" s="6">
        <f t="shared" si="13"/>
        <v>4</v>
      </c>
      <c r="G80" s="12">
        <v>51.7</v>
      </c>
      <c r="H80" s="67">
        <f t="shared" si="12"/>
        <v>206.8</v>
      </c>
      <c r="I80" s="67">
        <f>H80/F13/12</f>
        <v>1.5495511696563713E-3</v>
      </c>
      <c r="J80" s="68"/>
      <c r="K80" s="68"/>
      <c r="L80" s="68"/>
      <c r="M80" s="12">
        <v>49.24</v>
      </c>
      <c r="N80" s="69">
        <f t="shared" si="3"/>
        <v>51.702000000000005</v>
      </c>
    </row>
    <row r="81" spans="1:14" s="33" customFormat="1" ht="26.25" x14ac:dyDescent="0.25">
      <c r="A81" s="2">
        <v>64</v>
      </c>
      <c r="B81" s="95" t="s">
        <v>89</v>
      </c>
      <c r="C81" s="65" t="s">
        <v>90</v>
      </c>
      <c r="D81" s="11">
        <f>1176.92*2/1000</f>
        <v>2.3538399999999999</v>
      </c>
      <c r="E81" s="85">
        <v>26</v>
      </c>
      <c r="F81" s="6">
        <f t="shared" si="13"/>
        <v>61.199839999999995</v>
      </c>
      <c r="G81" s="12">
        <v>476.21</v>
      </c>
      <c r="H81" s="67">
        <f t="shared" si="12"/>
        <v>29143.975806399998</v>
      </c>
      <c r="I81" s="67">
        <f>H81/F13/12</f>
        <v>0.21837563732709916</v>
      </c>
      <c r="J81" s="68"/>
      <c r="K81" s="68"/>
      <c r="L81" s="68"/>
      <c r="M81" s="12">
        <v>453.53</v>
      </c>
      <c r="N81" s="69">
        <f t="shared" si="3"/>
        <v>476.20649999999995</v>
      </c>
    </row>
    <row r="82" spans="1:14" s="33" customFormat="1" ht="17.850000000000001" customHeight="1" x14ac:dyDescent="0.25">
      <c r="A82" s="2">
        <v>65</v>
      </c>
      <c r="B82" s="86" t="s">
        <v>91</v>
      </c>
      <c r="C82" s="87"/>
      <c r="D82" s="92"/>
      <c r="E82" s="88"/>
      <c r="F82" s="6"/>
      <c r="G82" s="12"/>
      <c r="H82" s="67"/>
      <c r="I82" s="67"/>
      <c r="J82" s="68"/>
      <c r="K82" s="68"/>
      <c r="L82" s="68"/>
      <c r="M82" s="12"/>
      <c r="N82" s="69">
        <f t="shared" si="3"/>
        <v>0</v>
      </c>
    </row>
    <row r="83" spans="1:14" s="33" customFormat="1" ht="17.850000000000001" customHeight="1" x14ac:dyDescent="0.25">
      <c r="A83" s="2">
        <v>66</v>
      </c>
      <c r="B83" s="82" t="s">
        <v>78</v>
      </c>
      <c r="C83" s="72" t="s">
        <v>77</v>
      </c>
      <c r="D83" s="11">
        <v>40</v>
      </c>
      <c r="E83" s="12">
        <v>0.1</v>
      </c>
      <c r="F83" s="11">
        <f>D83*E83</f>
        <v>4</v>
      </c>
      <c r="G83" s="93">
        <v>851.29</v>
      </c>
      <c r="H83" s="67">
        <f t="shared" si="12"/>
        <v>3405.16</v>
      </c>
      <c r="I83" s="67">
        <f>H83/F13/12</f>
        <v>2.5514843621214162E-2</v>
      </c>
      <c r="J83" s="68"/>
      <c r="K83" s="68"/>
      <c r="L83" s="68"/>
      <c r="M83" s="93">
        <v>810.75</v>
      </c>
      <c r="N83" s="69">
        <f t="shared" si="3"/>
        <v>851.28750000000002</v>
      </c>
    </row>
    <row r="84" spans="1:14" s="33" customFormat="1" ht="17.850000000000001" customHeight="1" x14ac:dyDescent="0.25">
      <c r="A84" s="2">
        <v>67</v>
      </c>
      <c r="B84" s="82" t="s">
        <v>76</v>
      </c>
      <c r="C84" s="72" t="s">
        <v>77</v>
      </c>
      <c r="D84" s="11">
        <v>40</v>
      </c>
      <c r="E84" s="12">
        <v>0.25</v>
      </c>
      <c r="F84" s="11">
        <f>D84*E84</f>
        <v>10</v>
      </c>
      <c r="G84" s="93">
        <v>494.83</v>
      </c>
      <c r="H84" s="67">
        <f t="shared" si="12"/>
        <v>4948.3</v>
      </c>
      <c r="I84" s="67">
        <f>H84/F13/12</f>
        <v>3.7077582460399529E-2</v>
      </c>
      <c r="J84" s="68"/>
      <c r="K84" s="68"/>
      <c r="L84" s="68"/>
      <c r="M84" s="93">
        <v>471.27</v>
      </c>
      <c r="N84" s="69">
        <f t="shared" si="3"/>
        <v>494.83349999999996</v>
      </c>
    </row>
    <row r="85" spans="1:14" s="33" customFormat="1" x14ac:dyDescent="0.25">
      <c r="A85" s="2">
        <v>68</v>
      </c>
      <c r="B85" s="64" t="s">
        <v>92</v>
      </c>
      <c r="C85" s="65"/>
      <c r="D85" s="70"/>
      <c r="E85" s="84"/>
      <c r="F85" s="6"/>
      <c r="G85" s="12"/>
      <c r="H85" s="67"/>
      <c r="I85" s="67"/>
      <c r="J85" s="68"/>
      <c r="K85" s="68"/>
      <c r="L85" s="68"/>
      <c r="M85" s="12"/>
      <c r="N85" s="69">
        <f t="shared" si="3"/>
        <v>0</v>
      </c>
    </row>
    <row r="86" spans="1:14" s="33" customFormat="1" x14ac:dyDescent="0.25">
      <c r="A86" s="2">
        <v>69</v>
      </c>
      <c r="B86" s="70" t="s">
        <v>93</v>
      </c>
      <c r="C86" s="65" t="s">
        <v>94</v>
      </c>
      <c r="D86" s="70">
        <v>283</v>
      </c>
      <c r="E86" s="84">
        <v>0.05</v>
      </c>
      <c r="F86" s="6">
        <f t="shared" ref="F86:F95" si="14">E86*D86</f>
        <v>14.15</v>
      </c>
      <c r="G86" s="12">
        <v>193.25</v>
      </c>
      <c r="H86" s="67">
        <f t="shared" si="12"/>
        <v>2734.4875000000002</v>
      </c>
      <c r="I86" s="67">
        <f>H86/F13/12</f>
        <v>2.0489498568838138E-2</v>
      </c>
      <c r="J86" s="68"/>
      <c r="K86" s="68"/>
      <c r="L86" s="68"/>
      <c r="M86" s="12">
        <v>184.05</v>
      </c>
      <c r="N86" s="69">
        <f t="shared" ref="N86:N126" si="15">M86*5/100+M86</f>
        <v>193.2525</v>
      </c>
    </row>
    <row r="87" spans="1:14" s="33" customFormat="1" x14ac:dyDescent="0.25">
      <c r="A87" s="2">
        <v>70</v>
      </c>
      <c r="B87" s="70" t="s">
        <v>95</v>
      </c>
      <c r="C87" s="65" t="s">
        <v>94</v>
      </c>
      <c r="D87" s="70">
        <v>148</v>
      </c>
      <c r="E87" s="84">
        <v>0.05</v>
      </c>
      <c r="F87" s="6">
        <f t="shared" si="14"/>
        <v>7.4</v>
      </c>
      <c r="G87" s="12">
        <v>228.52</v>
      </c>
      <c r="H87" s="67">
        <f t="shared" si="12"/>
        <v>1691.0480000000002</v>
      </c>
      <c r="I87" s="67">
        <f>H87/F13/12</f>
        <v>1.2671012603215995E-2</v>
      </c>
      <c r="J87" s="68"/>
      <c r="K87" s="68"/>
      <c r="L87" s="68"/>
      <c r="M87" s="12">
        <v>217.64</v>
      </c>
      <c r="N87" s="69">
        <f t="shared" si="15"/>
        <v>228.52199999999999</v>
      </c>
    </row>
    <row r="88" spans="1:14" s="33" customFormat="1" ht="27" customHeight="1" x14ac:dyDescent="0.25">
      <c r="A88" s="2">
        <v>71</v>
      </c>
      <c r="B88" s="71" t="s">
        <v>96</v>
      </c>
      <c r="C88" s="65" t="s">
        <v>97</v>
      </c>
      <c r="D88" s="70">
        <f>17*2</f>
        <v>34</v>
      </c>
      <c r="E88" s="85">
        <v>12</v>
      </c>
      <c r="F88" s="6">
        <f t="shared" si="14"/>
        <v>408</v>
      </c>
      <c r="G88" s="12">
        <v>275.26</v>
      </c>
      <c r="H88" s="67">
        <f t="shared" si="12"/>
        <v>112306.08</v>
      </c>
      <c r="I88" s="67">
        <f>H88/F13/12</f>
        <v>0.84150878928202133</v>
      </c>
      <c r="J88" s="68"/>
      <c r="K88" s="68"/>
      <c r="L88" s="68"/>
      <c r="M88" s="12">
        <v>262.14999999999998</v>
      </c>
      <c r="N88" s="69">
        <f t="shared" si="15"/>
        <v>275.25749999999999</v>
      </c>
    </row>
    <row r="89" spans="1:14" s="33" customFormat="1" ht="27" customHeight="1" x14ac:dyDescent="0.25">
      <c r="A89" s="2">
        <v>72</v>
      </c>
      <c r="B89" s="64" t="s">
        <v>98</v>
      </c>
      <c r="C89" s="65" t="s">
        <v>99</v>
      </c>
      <c r="D89" s="70">
        <v>30</v>
      </c>
      <c r="E89" s="85">
        <v>2</v>
      </c>
      <c r="F89" s="6">
        <f t="shared" si="14"/>
        <v>60</v>
      </c>
      <c r="G89" s="12">
        <v>51.7</v>
      </c>
      <c r="H89" s="67">
        <f t="shared" si="12"/>
        <v>3102</v>
      </c>
      <c r="I89" s="67">
        <f>H89/F13/12</f>
        <v>2.3243267544845569E-2</v>
      </c>
      <c r="J89" s="68"/>
      <c r="K89" s="68"/>
      <c r="L89" s="68"/>
      <c r="M89" s="12">
        <v>49.24</v>
      </c>
      <c r="N89" s="69">
        <f t="shared" si="15"/>
        <v>51.702000000000005</v>
      </c>
    </row>
    <row r="90" spans="1:14" s="33" customFormat="1" ht="15" customHeight="1" x14ac:dyDescent="0.25">
      <c r="A90" s="2">
        <v>73</v>
      </c>
      <c r="B90" s="64" t="s">
        <v>100</v>
      </c>
      <c r="C90" s="65" t="s">
        <v>80</v>
      </c>
      <c r="D90" s="70">
        <f>68*2</f>
        <v>136</v>
      </c>
      <c r="E90" s="85">
        <v>1</v>
      </c>
      <c r="F90" s="6">
        <f t="shared" si="14"/>
        <v>136</v>
      </c>
      <c r="G90" s="12">
        <v>27.74</v>
      </c>
      <c r="H90" s="67">
        <f t="shared" si="12"/>
        <v>3772.64</v>
      </c>
      <c r="I90" s="67">
        <f>H90/F13/12</f>
        <v>2.8268369074914954E-2</v>
      </c>
      <c r="J90" s="68"/>
      <c r="K90" s="68"/>
      <c r="L90" s="68"/>
      <c r="M90" s="12">
        <v>26.42</v>
      </c>
      <c r="N90" s="69">
        <f t="shared" si="15"/>
        <v>27.741000000000003</v>
      </c>
    </row>
    <row r="91" spans="1:14" s="33" customFormat="1" ht="14.25" customHeight="1" x14ac:dyDescent="0.25">
      <c r="A91" s="2">
        <v>74</v>
      </c>
      <c r="B91" s="71" t="s">
        <v>101</v>
      </c>
      <c r="C91" s="72" t="s">
        <v>94</v>
      </c>
      <c r="D91" s="11">
        <f>8*2</f>
        <v>16</v>
      </c>
      <c r="E91" s="85">
        <v>1</v>
      </c>
      <c r="F91" s="6">
        <f t="shared" si="14"/>
        <v>16</v>
      </c>
      <c r="G91" s="12">
        <v>531.41999999999996</v>
      </c>
      <c r="H91" s="67">
        <f t="shared" si="12"/>
        <v>8502.7199999999993</v>
      </c>
      <c r="I91" s="67">
        <f>H91/F13/12</f>
        <v>6.3710830373600674E-2</v>
      </c>
      <c r="J91" s="68"/>
      <c r="K91" s="68"/>
      <c r="L91" s="68"/>
      <c r="M91" s="12">
        <v>506.11</v>
      </c>
      <c r="N91" s="69">
        <f t="shared" si="15"/>
        <v>531.41550000000007</v>
      </c>
    </row>
    <row r="92" spans="1:14" s="33" customFormat="1" x14ac:dyDescent="0.25">
      <c r="A92" s="2">
        <v>75</v>
      </c>
      <c r="B92" s="64" t="s">
        <v>102</v>
      </c>
      <c r="C92" s="65" t="s">
        <v>77</v>
      </c>
      <c r="D92" s="70">
        <v>2</v>
      </c>
      <c r="E92" s="85">
        <v>1</v>
      </c>
      <c r="F92" s="6">
        <f t="shared" si="14"/>
        <v>2</v>
      </c>
      <c r="G92" s="12">
        <v>12.26</v>
      </c>
      <c r="H92" s="67">
        <f t="shared" si="12"/>
        <v>24.52</v>
      </c>
      <c r="I92" s="67">
        <f>H92/F13/12</f>
        <v>1.8372821411979801E-4</v>
      </c>
      <c r="J92" s="68"/>
      <c r="K92" s="68"/>
      <c r="L92" s="68"/>
      <c r="M92" s="12">
        <v>11.68</v>
      </c>
      <c r="N92" s="69">
        <f t="shared" si="15"/>
        <v>12.263999999999999</v>
      </c>
    </row>
    <row r="93" spans="1:14" s="33" customFormat="1" x14ac:dyDescent="0.25">
      <c r="A93" s="2">
        <v>76</v>
      </c>
      <c r="B93" s="64" t="s">
        <v>103</v>
      </c>
      <c r="C93" s="65" t="s">
        <v>77</v>
      </c>
      <c r="D93" s="70">
        <v>2</v>
      </c>
      <c r="E93" s="85">
        <v>1</v>
      </c>
      <c r="F93" s="6">
        <f t="shared" si="14"/>
        <v>2</v>
      </c>
      <c r="G93" s="12">
        <v>12.26</v>
      </c>
      <c r="H93" s="67">
        <f t="shared" si="12"/>
        <v>24.52</v>
      </c>
      <c r="I93" s="67">
        <f>H93/F13/12</f>
        <v>1.8372821411979801E-4</v>
      </c>
      <c r="J93" s="68"/>
      <c r="K93" s="68"/>
      <c r="L93" s="68"/>
      <c r="M93" s="12">
        <v>11.68</v>
      </c>
      <c r="N93" s="69">
        <f t="shared" si="15"/>
        <v>12.263999999999999</v>
      </c>
    </row>
    <row r="94" spans="1:14" s="33" customFormat="1" x14ac:dyDescent="0.25">
      <c r="A94" s="2">
        <v>77</v>
      </c>
      <c r="B94" s="71" t="s">
        <v>104</v>
      </c>
      <c r="C94" s="72" t="s">
        <v>74</v>
      </c>
      <c r="D94" s="11">
        <v>16</v>
      </c>
      <c r="E94" s="85">
        <v>48</v>
      </c>
      <c r="F94" s="6">
        <f t="shared" si="14"/>
        <v>768</v>
      </c>
      <c r="G94" s="12">
        <v>123.46</v>
      </c>
      <c r="H94" s="67">
        <f t="shared" si="12"/>
        <v>94817.279999999999</v>
      </c>
      <c r="I94" s="67">
        <f>H94/F13/12</f>
        <v>0.71046531493053999</v>
      </c>
      <c r="J94" s="68"/>
      <c r="K94" s="68"/>
      <c r="L94" s="68"/>
      <c r="M94" s="12">
        <v>117.58</v>
      </c>
      <c r="N94" s="69">
        <f t="shared" si="15"/>
        <v>123.459</v>
      </c>
    </row>
    <row r="95" spans="1:14" s="33" customFormat="1" x14ac:dyDescent="0.25">
      <c r="A95" s="2">
        <v>78</v>
      </c>
      <c r="B95" s="64" t="s">
        <v>105</v>
      </c>
      <c r="C95" s="65" t="s">
        <v>99</v>
      </c>
      <c r="D95" s="70">
        <v>1</v>
      </c>
      <c r="E95" s="85">
        <v>12</v>
      </c>
      <c r="F95" s="6">
        <f t="shared" si="14"/>
        <v>12</v>
      </c>
      <c r="G95" s="12">
        <v>16.809999999999999</v>
      </c>
      <c r="H95" s="67">
        <f t="shared" si="12"/>
        <v>201.71999999999997</v>
      </c>
      <c r="I95" s="67">
        <f>H95/F13/12</f>
        <v>1.5114867598795126E-3</v>
      </c>
      <c r="J95" s="68"/>
      <c r="K95" s="68"/>
      <c r="L95" s="68"/>
      <c r="M95" s="12">
        <v>16.010000000000002</v>
      </c>
      <c r="N95" s="69">
        <f t="shared" si="15"/>
        <v>16.810500000000001</v>
      </c>
    </row>
    <row r="96" spans="1:14" s="33" customFormat="1" ht="26.25" x14ac:dyDescent="0.25">
      <c r="A96" s="2">
        <v>79</v>
      </c>
      <c r="B96" s="71" t="s">
        <v>106</v>
      </c>
      <c r="C96" s="72" t="s">
        <v>107</v>
      </c>
      <c r="D96" s="11">
        <v>137</v>
      </c>
      <c r="E96" s="74">
        <v>2</v>
      </c>
      <c r="F96" s="11">
        <f>D96*E96</f>
        <v>274</v>
      </c>
      <c r="G96" s="12">
        <v>16.809999999999999</v>
      </c>
      <c r="H96" s="67">
        <f t="shared" si="12"/>
        <v>4605.9399999999996</v>
      </c>
      <c r="I96" s="67">
        <f>H96/F13/12</f>
        <v>3.4512281017248868E-2</v>
      </c>
      <c r="J96" s="68"/>
      <c r="K96" s="68"/>
      <c r="L96" s="68"/>
      <c r="M96" s="12">
        <v>16.010000000000002</v>
      </c>
      <c r="N96" s="69">
        <f t="shared" si="15"/>
        <v>16.810500000000001</v>
      </c>
    </row>
    <row r="97" spans="1:14" s="33" customFormat="1" x14ac:dyDescent="0.25">
      <c r="A97" s="2">
        <v>80</v>
      </c>
      <c r="B97" s="86" t="s">
        <v>108</v>
      </c>
      <c r="C97" s="87"/>
      <c r="D97" s="92"/>
      <c r="E97" s="88"/>
      <c r="F97" s="6"/>
      <c r="G97" s="12"/>
      <c r="H97" s="67"/>
      <c r="I97" s="67"/>
      <c r="J97" s="68"/>
      <c r="K97" s="68"/>
      <c r="L97" s="68"/>
      <c r="M97" s="12"/>
      <c r="N97" s="69">
        <f t="shared" si="15"/>
        <v>0</v>
      </c>
    </row>
    <row r="98" spans="1:14" s="33" customFormat="1" x14ac:dyDescent="0.25">
      <c r="A98" s="2">
        <v>81</v>
      </c>
      <c r="B98" s="64" t="s">
        <v>109</v>
      </c>
      <c r="C98" s="65" t="s">
        <v>24</v>
      </c>
      <c r="D98" s="96"/>
      <c r="E98" s="84"/>
      <c r="F98" s="6"/>
      <c r="G98" s="12"/>
      <c r="H98" s="67"/>
      <c r="I98" s="67"/>
      <c r="J98" s="68"/>
      <c r="K98" s="68"/>
      <c r="L98" s="68"/>
      <c r="M98" s="12"/>
      <c r="N98" s="69">
        <f t="shared" si="15"/>
        <v>0</v>
      </c>
    </row>
    <row r="99" spans="1:14" s="33" customFormat="1" x14ac:dyDescent="0.25">
      <c r="A99" s="2">
        <v>82</v>
      </c>
      <c r="B99" s="64" t="s">
        <v>110</v>
      </c>
      <c r="C99" s="65" t="s">
        <v>24</v>
      </c>
      <c r="D99" s="84">
        <f>1*9*4+4*3+2</f>
        <v>50</v>
      </c>
      <c r="E99" s="84">
        <v>0.5</v>
      </c>
      <c r="F99" s="6">
        <f>D99*E99</f>
        <v>25</v>
      </c>
      <c r="G99" s="12">
        <v>164.87</v>
      </c>
      <c r="H99" s="67">
        <f t="shared" si="12"/>
        <v>4121.75</v>
      </c>
      <c r="I99" s="67">
        <f>H99/F13/12</f>
        <v>3.0884248227906908E-2</v>
      </c>
      <c r="J99" s="68"/>
      <c r="K99" s="68"/>
      <c r="L99" s="68"/>
      <c r="M99" s="12">
        <v>157.02000000000001</v>
      </c>
      <c r="N99" s="69">
        <f t="shared" si="15"/>
        <v>164.87100000000001</v>
      </c>
    </row>
    <row r="100" spans="1:14" s="33" customFormat="1" x14ac:dyDescent="0.25">
      <c r="A100" s="2">
        <v>83</v>
      </c>
      <c r="B100" s="64" t="s">
        <v>111</v>
      </c>
      <c r="C100" s="65" t="s">
        <v>24</v>
      </c>
      <c r="D100" s="84">
        <f>2*9*4</f>
        <v>72</v>
      </c>
      <c r="E100" s="84">
        <v>0.1</v>
      </c>
      <c r="F100" s="6">
        <v>5</v>
      </c>
      <c r="G100" s="12">
        <v>831.6</v>
      </c>
      <c r="H100" s="67">
        <f t="shared" si="12"/>
        <v>4158</v>
      </c>
      <c r="I100" s="67">
        <f>H100/F13/12</f>
        <v>3.1155869262239805E-2</v>
      </c>
      <c r="J100" s="68"/>
      <c r="K100" s="68"/>
      <c r="L100" s="68"/>
      <c r="M100" s="12">
        <v>792</v>
      </c>
      <c r="N100" s="69">
        <f t="shared" si="15"/>
        <v>831.6</v>
      </c>
    </row>
    <row r="101" spans="1:14" s="33" customFormat="1" x14ac:dyDescent="0.25">
      <c r="A101" s="2">
        <v>84</v>
      </c>
      <c r="B101" s="64" t="s">
        <v>112</v>
      </c>
      <c r="C101" s="65" t="s">
        <v>24</v>
      </c>
      <c r="D101" s="84"/>
      <c r="E101" s="84"/>
      <c r="F101" s="6"/>
      <c r="G101" s="12"/>
      <c r="H101" s="67"/>
      <c r="I101" s="67"/>
      <c r="J101" s="68"/>
      <c r="K101" s="68"/>
      <c r="L101" s="68"/>
      <c r="M101" s="12"/>
      <c r="N101" s="69">
        <f t="shared" si="15"/>
        <v>0</v>
      </c>
    </row>
    <row r="102" spans="1:14" s="33" customFormat="1" x14ac:dyDescent="0.25">
      <c r="A102" s="2">
        <v>85</v>
      </c>
      <c r="B102" s="71" t="s">
        <v>113</v>
      </c>
      <c r="C102" s="72" t="s">
        <v>24</v>
      </c>
      <c r="D102" s="84">
        <f>1*9*4</f>
        <v>36</v>
      </c>
      <c r="E102" s="97">
        <v>0.1</v>
      </c>
      <c r="F102" s="98">
        <f>D102*E102</f>
        <v>3.6</v>
      </c>
      <c r="G102" s="93">
        <v>57.36</v>
      </c>
      <c r="H102" s="67">
        <f t="shared" si="12"/>
        <v>206.49600000000001</v>
      </c>
      <c r="I102" s="67">
        <f>H102/F13/12</f>
        <v>1.5472732994650004E-3</v>
      </c>
      <c r="J102" s="68"/>
      <c r="K102" s="68"/>
      <c r="L102" s="68"/>
      <c r="M102" s="93">
        <v>54.63</v>
      </c>
      <c r="N102" s="69">
        <f t="shared" si="15"/>
        <v>57.361500000000007</v>
      </c>
    </row>
    <row r="103" spans="1:14" s="33" customFormat="1" x14ac:dyDescent="0.25">
      <c r="A103" s="2">
        <v>86</v>
      </c>
      <c r="B103" s="64" t="s">
        <v>114</v>
      </c>
      <c r="C103" s="65" t="s">
        <v>115</v>
      </c>
      <c r="D103" s="11">
        <v>14</v>
      </c>
      <c r="E103" s="84">
        <v>0.15</v>
      </c>
      <c r="F103" s="98">
        <f>D103*E103</f>
        <v>2.1</v>
      </c>
      <c r="G103" s="12">
        <v>154.79</v>
      </c>
      <c r="H103" s="67">
        <f t="shared" si="12"/>
        <v>325.05899999999997</v>
      </c>
      <c r="I103" s="67">
        <f>H103/F13/12</f>
        <v>2.435665153081868E-3</v>
      </c>
      <c r="J103" s="68"/>
      <c r="K103" s="68"/>
      <c r="L103" s="68"/>
      <c r="M103" s="12">
        <v>147.41999999999999</v>
      </c>
      <c r="N103" s="69">
        <f t="shared" si="15"/>
        <v>154.791</v>
      </c>
    </row>
    <row r="104" spans="1:14" s="33" customFormat="1" x14ac:dyDescent="0.25">
      <c r="A104" s="2">
        <v>87</v>
      </c>
      <c r="B104" s="64" t="s">
        <v>116</v>
      </c>
      <c r="C104" s="65" t="s">
        <v>115</v>
      </c>
      <c r="D104" s="11">
        <v>14</v>
      </c>
      <c r="E104" s="84">
        <v>0.15</v>
      </c>
      <c r="F104" s="98">
        <f>D104*E104</f>
        <v>2.1</v>
      </c>
      <c r="G104" s="12">
        <v>92.74</v>
      </c>
      <c r="H104" s="67">
        <f t="shared" si="12"/>
        <v>194.75399999999999</v>
      </c>
      <c r="I104" s="67">
        <f>H104/F13/12</f>
        <v>1.4592905633232928E-3</v>
      </c>
      <c r="J104" s="68"/>
      <c r="K104" s="68"/>
      <c r="L104" s="68"/>
      <c r="M104" s="12">
        <v>88.32</v>
      </c>
      <c r="N104" s="69">
        <f t="shared" si="15"/>
        <v>92.73599999999999</v>
      </c>
    </row>
    <row r="105" spans="1:14" s="33" customFormat="1" ht="26.25" x14ac:dyDescent="0.25">
      <c r="A105" s="2">
        <v>88</v>
      </c>
      <c r="B105" s="64" t="s">
        <v>117</v>
      </c>
      <c r="C105" s="65" t="s">
        <v>80</v>
      </c>
      <c r="D105" s="11">
        <f>6*9*4+100+150</f>
        <v>466</v>
      </c>
      <c r="E105" s="84">
        <v>0.01</v>
      </c>
      <c r="F105" s="6">
        <f>E105*D105</f>
        <v>4.66</v>
      </c>
      <c r="G105" s="12">
        <v>89.07</v>
      </c>
      <c r="H105" s="67">
        <f t="shared" si="12"/>
        <v>415.06619999999998</v>
      </c>
      <c r="I105" s="67">
        <f>H105/F13/12</f>
        <v>3.1100885671896776E-3</v>
      </c>
      <c r="J105" s="68"/>
      <c r="K105" s="68"/>
      <c r="L105" s="68"/>
      <c r="M105" s="12">
        <v>84.83</v>
      </c>
      <c r="N105" s="69">
        <f t="shared" si="15"/>
        <v>89.0715</v>
      </c>
    </row>
    <row r="106" spans="1:14" s="33" customFormat="1" x14ac:dyDescent="0.25">
      <c r="A106" s="2">
        <v>89</v>
      </c>
      <c r="B106" s="64" t="s">
        <v>118</v>
      </c>
      <c r="C106" s="65" t="s">
        <v>24</v>
      </c>
      <c r="D106" s="11">
        <f>1*9*4</f>
        <v>36</v>
      </c>
      <c r="E106" s="84">
        <v>0.25</v>
      </c>
      <c r="F106" s="6">
        <f>E106*D106</f>
        <v>9</v>
      </c>
      <c r="G106" s="12">
        <v>321.64999999999998</v>
      </c>
      <c r="H106" s="67">
        <f t="shared" si="12"/>
        <v>2894.85</v>
      </c>
      <c r="I106" s="67">
        <f>H106/F13/12</f>
        <v>2.1691093827271499E-2</v>
      </c>
      <c r="J106" s="68"/>
      <c r="K106" s="68"/>
      <c r="L106" s="68"/>
      <c r="M106" s="12">
        <v>306.33</v>
      </c>
      <c r="N106" s="69">
        <f t="shared" si="15"/>
        <v>321.6465</v>
      </c>
    </row>
    <row r="107" spans="1:14" s="33" customFormat="1" ht="26.25" x14ac:dyDescent="0.25">
      <c r="A107" s="2">
        <v>90</v>
      </c>
      <c r="B107" s="64" t="s">
        <v>119</v>
      </c>
      <c r="C107" s="65" t="s">
        <v>120</v>
      </c>
      <c r="D107" s="11">
        <f>9*4/100</f>
        <v>0.36</v>
      </c>
      <c r="E107" s="85">
        <v>12</v>
      </c>
      <c r="F107" s="6">
        <f>E107*D107</f>
        <v>4.32</v>
      </c>
      <c r="G107" s="12">
        <v>1953.28</v>
      </c>
      <c r="H107" s="67">
        <f t="shared" si="12"/>
        <v>8438.1696000000011</v>
      </c>
      <c r="I107" s="67">
        <f>H107/F13/12</f>
        <v>6.3227154610439248E-2</v>
      </c>
      <c r="J107" s="68"/>
      <c r="K107" s="68"/>
      <c r="L107" s="68"/>
      <c r="M107" s="12">
        <v>1860.27</v>
      </c>
      <c r="N107" s="69">
        <f t="shared" si="15"/>
        <v>1953.2835</v>
      </c>
    </row>
    <row r="108" spans="1:14" s="33" customFormat="1" x14ac:dyDescent="0.25">
      <c r="A108" s="2">
        <v>91</v>
      </c>
      <c r="B108" s="13" t="s">
        <v>40</v>
      </c>
      <c r="C108" s="75"/>
      <c r="D108" s="4"/>
      <c r="E108" s="99"/>
      <c r="F108" s="24"/>
      <c r="G108" s="5"/>
      <c r="H108" s="7">
        <f>SUM(H67:H107)</f>
        <v>462213.35700640007</v>
      </c>
      <c r="I108" s="7">
        <f>SUM(I67:I107)</f>
        <v>3.4633619341395789</v>
      </c>
      <c r="J108" s="21">
        <v>3.41</v>
      </c>
      <c r="K108" s="21">
        <f>J108-I108</f>
        <v>-5.3361934139578793E-2</v>
      </c>
      <c r="L108" s="21"/>
      <c r="M108" s="5"/>
      <c r="N108" s="69">
        <f t="shared" si="15"/>
        <v>0</v>
      </c>
    </row>
    <row r="109" spans="1:14" s="33" customFormat="1" ht="19.149999999999999" customHeight="1" x14ac:dyDescent="0.25">
      <c r="A109" s="2">
        <v>92</v>
      </c>
      <c r="B109" s="58" t="s">
        <v>122</v>
      </c>
      <c r="C109" s="75"/>
      <c r="D109" s="70"/>
      <c r="E109" s="85"/>
      <c r="F109" s="6"/>
      <c r="G109" s="12"/>
      <c r="H109" s="67"/>
      <c r="I109" s="67"/>
      <c r="J109" s="68"/>
      <c r="K109" s="68"/>
      <c r="L109" s="68"/>
      <c r="M109" s="12"/>
      <c r="N109" s="69">
        <f t="shared" si="15"/>
        <v>0</v>
      </c>
    </row>
    <row r="110" spans="1:14" s="33" customFormat="1" x14ac:dyDescent="0.25">
      <c r="A110" s="2">
        <v>93</v>
      </c>
      <c r="B110" s="64" t="s">
        <v>123</v>
      </c>
      <c r="C110" s="65" t="s">
        <v>24</v>
      </c>
      <c r="D110" s="1">
        <v>1</v>
      </c>
      <c r="E110" s="85">
        <v>12</v>
      </c>
      <c r="F110" s="6">
        <f>E110*D110</f>
        <v>12</v>
      </c>
      <c r="G110" s="12">
        <v>6069.53</v>
      </c>
      <c r="H110" s="67">
        <f t="shared" ref="H110" si="16">F110*G110</f>
        <v>72834.36</v>
      </c>
      <c r="I110" s="67">
        <f>H110/F13/12</f>
        <v>0.5457474261565437</v>
      </c>
      <c r="J110" s="68"/>
      <c r="K110" s="68"/>
      <c r="L110" s="68"/>
      <c r="M110" s="12">
        <v>5780.5</v>
      </c>
      <c r="N110" s="69">
        <f t="shared" si="15"/>
        <v>6069.5249999999996</v>
      </c>
    </row>
    <row r="111" spans="1:14" s="33" customFormat="1" x14ac:dyDescent="0.25">
      <c r="A111" s="2">
        <v>94</v>
      </c>
      <c r="B111" s="71" t="s">
        <v>124</v>
      </c>
      <c r="C111" s="72" t="s">
        <v>24</v>
      </c>
      <c r="D111" s="98">
        <v>16</v>
      </c>
      <c r="E111" s="12">
        <v>0.25</v>
      </c>
      <c r="F111" s="11">
        <f t="shared" ref="F111:F117" si="17">D111*E111</f>
        <v>4</v>
      </c>
      <c r="G111" s="12">
        <v>5250</v>
      </c>
      <c r="H111" s="67">
        <f t="shared" ref="H111:H122" si="18">F111*G111</f>
        <v>21000</v>
      </c>
      <c r="I111" s="67">
        <f>H111/F13/12</f>
        <v>0.15735287506181719</v>
      </c>
      <c r="J111" s="81"/>
      <c r="K111" s="81"/>
      <c r="L111" s="81"/>
      <c r="M111" s="12">
        <v>5000</v>
      </c>
      <c r="N111" s="69">
        <f t="shared" si="15"/>
        <v>5250</v>
      </c>
    </row>
    <row r="112" spans="1:14" s="33" customFormat="1" x14ac:dyDescent="0.25">
      <c r="A112" s="2">
        <v>95</v>
      </c>
      <c r="B112" s="64" t="s">
        <v>125</v>
      </c>
      <c r="C112" s="65" t="s">
        <v>24</v>
      </c>
      <c r="D112" s="1">
        <v>4</v>
      </c>
      <c r="E112" s="74">
        <v>1</v>
      </c>
      <c r="F112" s="11">
        <f t="shared" si="17"/>
        <v>4</v>
      </c>
      <c r="G112" s="12">
        <v>551.78</v>
      </c>
      <c r="H112" s="67">
        <f t="shared" si="18"/>
        <v>2207.12</v>
      </c>
      <c r="I112" s="67">
        <f>H112/F13/12</f>
        <v>1.6537937028877996E-2</v>
      </c>
      <c r="J112" s="68"/>
      <c r="K112" s="68"/>
      <c r="L112" s="68"/>
      <c r="M112" s="12">
        <v>525.5</v>
      </c>
      <c r="N112" s="69">
        <f t="shared" si="15"/>
        <v>551.77499999999998</v>
      </c>
    </row>
    <row r="113" spans="1:19" s="33" customFormat="1" x14ac:dyDescent="0.25">
      <c r="A113" s="2">
        <v>96</v>
      </c>
      <c r="B113" s="64" t="s">
        <v>126</v>
      </c>
      <c r="C113" s="65" t="s">
        <v>24</v>
      </c>
      <c r="D113" s="1">
        <v>4</v>
      </c>
      <c r="E113" s="12">
        <v>0.25</v>
      </c>
      <c r="F113" s="11">
        <f t="shared" si="17"/>
        <v>1</v>
      </c>
      <c r="G113" s="12">
        <v>938.02</v>
      </c>
      <c r="H113" s="67">
        <f t="shared" si="18"/>
        <v>938.02</v>
      </c>
      <c r="I113" s="67">
        <f>H113/F13/12</f>
        <v>7.0285782793088466E-3</v>
      </c>
      <c r="J113" s="68"/>
      <c r="K113" s="68"/>
      <c r="L113" s="68"/>
      <c r="M113" s="12">
        <v>893.35</v>
      </c>
      <c r="N113" s="69">
        <f t="shared" si="15"/>
        <v>938.01750000000004</v>
      </c>
    </row>
    <row r="114" spans="1:19" s="33" customFormat="1" x14ac:dyDescent="0.25">
      <c r="A114" s="2">
        <v>97</v>
      </c>
      <c r="B114" s="64" t="s">
        <v>127</v>
      </c>
      <c r="C114" s="65" t="s">
        <v>24</v>
      </c>
      <c r="D114" s="98">
        <v>8</v>
      </c>
      <c r="E114" s="74">
        <v>1</v>
      </c>
      <c r="F114" s="11">
        <f t="shared" si="17"/>
        <v>8</v>
      </c>
      <c r="G114" s="12">
        <v>110.36</v>
      </c>
      <c r="H114" s="67">
        <f t="shared" si="18"/>
        <v>882.88</v>
      </c>
      <c r="I114" s="67">
        <f>H114/F13/12</f>
        <v>6.6154145873608171E-3</v>
      </c>
      <c r="J114" s="68"/>
      <c r="K114" s="68"/>
      <c r="L114" s="68"/>
      <c r="M114" s="12">
        <v>105.1</v>
      </c>
      <c r="N114" s="69">
        <f t="shared" si="15"/>
        <v>110.35499999999999</v>
      </c>
    </row>
    <row r="115" spans="1:19" s="33" customFormat="1" x14ac:dyDescent="0.25">
      <c r="A115" s="2">
        <v>98</v>
      </c>
      <c r="B115" s="64" t="s">
        <v>128</v>
      </c>
      <c r="C115" s="65" t="s">
        <v>24</v>
      </c>
      <c r="D115" s="98">
        <v>8</v>
      </c>
      <c r="E115" s="12">
        <v>0.25</v>
      </c>
      <c r="F115" s="11">
        <f t="shared" si="17"/>
        <v>2</v>
      </c>
      <c r="G115" s="12">
        <v>386.24</v>
      </c>
      <c r="H115" s="67">
        <f t="shared" si="18"/>
        <v>772.48</v>
      </c>
      <c r="I115" s="67">
        <f>H115/F13/12</f>
        <v>5.7881880441786925E-3</v>
      </c>
      <c r="J115" s="68"/>
      <c r="K115" s="68"/>
      <c r="L115" s="68"/>
      <c r="M115" s="12">
        <v>367.85</v>
      </c>
      <c r="N115" s="69">
        <f t="shared" si="15"/>
        <v>386.24250000000001</v>
      </c>
    </row>
    <row r="116" spans="1:19" s="33" customFormat="1" x14ac:dyDescent="0.25">
      <c r="A116" s="2">
        <v>99</v>
      </c>
      <c r="B116" s="71" t="s">
        <v>129</v>
      </c>
      <c r="C116" s="72" t="s">
        <v>107</v>
      </c>
      <c r="D116" s="11">
        <v>136</v>
      </c>
      <c r="E116" s="74">
        <v>3</v>
      </c>
      <c r="F116" s="11">
        <f t="shared" si="17"/>
        <v>408</v>
      </c>
      <c r="G116" s="12">
        <v>116.03</v>
      </c>
      <c r="H116" s="67">
        <f t="shared" si="18"/>
        <v>47340.24</v>
      </c>
      <c r="I116" s="67">
        <f>H116/F13/12</f>
        <v>0.35472013667221147</v>
      </c>
      <c r="J116" s="68"/>
      <c r="K116" s="68"/>
      <c r="L116" s="68"/>
      <c r="M116" s="100">
        <v>110.5</v>
      </c>
      <c r="N116" s="69">
        <f t="shared" si="15"/>
        <v>116.02500000000001</v>
      </c>
    </row>
    <row r="117" spans="1:19" s="33" customFormat="1" x14ac:dyDescent="0.25">
      <c r="A117" s="2">
        <v>100</v>
      </c>
      <c r="B117" s="71" t="s">
        <v>130</v>
      </c>
      <c r="C117" s="72" t="s">
        <v>107</v>
      </c>
      <c r="D117" s="11">
        <v>136</v>
      </c>
      <c r="E117" s="74">
        <v>1</v>
      </c>
      <c r="F117" s="11">
        <f t="shared" si="17"/>
        <v>136</v>
      </c>
      <c r="G117" s="12">
        <v>232.05</v>
      </c>
      <c r="H117" s="67">
        <f t="shared" si="18"/>
        <v>31558.800000000003</v>
      </c>
      <c r="I117" s="67">
        <f>H117/F13/12</f>
        <v>0.23646990064289888</v>
      </c>
      <c r="J117" s="68"/>
      <c r="K117" s="68"/>
      <c r="L117" s="68"/>
      <c r="M117" s="100">
        <v>221</v>
      </c>
      <c r="N117" s="69">
        <f t="shared" si="15"/>
        <v>232.05</v>
      </c>
    </row>
    <row r="118" spans="1:19" s="33" customFormat="1" x14ac:dyDescent="0.25">
      <c r="A118" s="2">
        <v>101</v>
      </c>
      <c r="B118" s="71" t="s">
        <v>131</v>
      </c>
      <c r="C118" s="72" t="s">
        <v>132</v>
      </c>
      <c r="D118" s="11">
        <f>F13</f>
        <v>11121.5</v>
      </c>
      <c r="E118" s="85">
        <v>12</v>
      </c>
      <c r="F118" s="6">
        <f>E118*D118</f>
        <v>133458</v>
      </c>
      <c r="G118" s="12">
        <v>0.56000000000000005</v>
      </c>
      <c r="H118" s="67">
        <f t="shared" si="18"/>
        <v>74736.48000000001</v>
      </c>
      <c r="I118" s="67">
        <f>H118/F13/12</f>
        <v>0.56000000000000005</v>
      </c>
      <c r="J118" s="68"/>
      <c r="K118" s="68"/>
      <c r="L118" s="68"/>
      <c r="M118" s="12">
        <v>0.53</v>
      </c>
      <c r="N118" s="69">
        <f t="shared" si="15"/>
        <v>0.55649999999999999</v>
      </c>
    </row>
    <row r="119" spans="1:19" s="33" customFormat="1" x14ac:dyDescent="0.25">
      <c r="A119" s="2">
        <v>102</v>
      </c>
      <c r="B119" s="71" t="s">
        <v>133</v>
      </c>
      <c r="C119" s="72" t="s">
        <v>132</v>
      </c>
      <c r="D119" s="11">
        <f>F13</f>
        <v>11121.5</v>
      </c>
      <c r="E119" s="85">
        <v>1</v>
      </c>
      <c r="F119" s="6">
        <f>E119*D119</f>
        <v>11121.5</v>
      </c>
      <c r="G119" s="12">
        <v>0.49</v>
      </c>
      <c r="H119" s="67">
        <f t="shared" si="18"/>
        <v>5449.5349999999999</v>
      </c>
      <c r="I119" s="67">
        <f>H119/F13/12</f>
        <v>4.0833333333333333E-2</v>
      </c>
      <c r="J119" s="68"/>
      <c r="K119" s="68"/>
      <c r="L119" s="68"/>
      <c r="M119" s="12">
        <v>0.47</v>
      </c>
      <c r="N119" s="69">
        <f t="shared" si="15"/>
        <v>0.49349999999999999</v>
      </c>
    </row>
    <row r="120" spans="1:19" s="33" customFormat="1" x14ac:dyDescent="0.25">
      <c r="A120" s="2">
        <v>103</v>
      </c>
      <c r="B120" s="71" t="s">
        <v>134</v>
      </c>
      <c r="C120" s="72" t="s">
        <v>132</v>
      </c>
      <c r="D120" s="11">
        <f>F13</f>
        <v>11121.5</v>
      </c>
      <c r="E120" s="85">
        <v>1</v>
      </c>
      <c r="F120" s="6">
        <f>E120*D120</f>
        <v>11121.5</v>
      </c>
      <c r="G120" s="12">
        <v>1.05</v>
      </c>
      <c r="H120" s="67">
        <f t="shared" si="18"/>
        <v>11677.575000000001</v>
      </c>
      <c r="I120" s="67">
        <f>H120/F13/12</f>
        <v>8.7500000000000008E-2</v>
      </c>
      <c r="J120" s="68"/>
      <c r="K120" s="68"/>
      <c r="L120" s="68"/>
      <c r="M120" s="12">
        <v>1</v>
      </c>
      <c r="N120" s="69">
        <f t="shared" si="15"/>
        <v>1.05</v>
      </c>
    </row>
    <row r="121" spans="1:19" s="33" customFormat="1" x14ac:dyDescent="0.25">
      <c r="A121" s="2">
        <v>104</v>
      </c>
      <c r="B121" s="71" t="s">
        <v>135</v>
      </c>
      <c r="C121" s="72" t="s">
        <v>136</v>
      </c>
      <c r="D121" s="98">
        <v>5</v>
      </c>
      <c r="E121" s="12">
        <v>0.33</v>
      </c>
      <c r="F121" s="11">
        <f>D121*E121</f>
        <v>1.6500000000000001</v>
      </c>
      <c r="G121" s="12">
        <v>6097.12</v>
      </c>
      <c r="H121" s="67">
        <f t="shared" si="18"/>
        <v>10060.248000000001</v>
      </c>
      <c r="I121" s="67">
        <f>H121/F13/12</f>
        <v>7.5381378411185557E-2</v>
      </c>
      <c r="J121" s="68"/>
      <c r="K121" s="68"/>
      <c r="L121" s="68"/>
      <c r="M121" s="12">
        <v>5806.78</v>
      </c>
      <c r="N121" s="69">
        <f t="shared" si="15"/>
        <v>6097.1189999999997</v>
      </c>
    </row>
    <row r="122" spans="1:19" s="33" customFormat="1" x14ac:dyDescent="0.25">
      <c r="A122" s="2">
        <v>105</v>
      </c>
      <c r="B122" s="71" t="s">
        <v>137</v>
      </c>
      <c r="C122" s="72" t="s">
        <v>138</v>
      </c>
      <c r="D122" s="98">
        <v>5</v>
      </c>
      <c r="E122" s="12">
        <v>12</v>
      </c>
      <c r="F122" s="11">
        <f>D122*E122</f>
        <v>60</v>
      </c>
      <c r="G122" s="12">
        <v>5000</v>
      </c>
      <c r="H122" s="67">
        <f t="shared" si="18"/>
        <v>300000</v>
      </c>
      <c r="I122" s="67">
        <f>H122/F13/12</f>
        <v>2.2478982151688172</v>
      </c>
      <c r="J122" s="68"/>
      <c r="K122" s="68"/>
      <c r="L122" s="68"/>
      <c r="M122" s="12">
        <v>5470</v>
      </c>
      <c r="N122" s="69">
        <f t="shared" si="15"/>
        <v>5743.5</v>
      </c>
    </row>
    <row r="123" spans="1:19" s="33" customFormat="1" x14ac:dyDescent="0.25">
      <c r="A123" s="2">
        <v>106</v>
      </c>
      <c r="B123" s="71" t="s">
        <v>139</v>
      </c>
      <c r="C123" s="72" t="s">
        <v>132</v>
      </c>
      <c r="D123" s="11">
        <f>F13</f>
        <v>11121.5</v>
      </c>
      <c r="E123" s="12">
        <v>1</v>
      </c>
      <c r="F123" s="11">
        <f>D123*E123</f>
        <v>11121.5</v>
      </c>
      <c r="G123" s="12">
        <v>2.19</v>
      </c>
      <c r="H123" s="12">
        <v>20000</v>
      </c>
      <c r="I123" s="67">
        <f>H123/F13/12</f>
        <v>0.14985988101125447</v>
      </c>
      <c r="J123" s="68"/>
      <c r="K123" s="68"/>
      <c r="L123" s="68"/>
      <c r="M123" s="12">
        <v>2.09</v>
      </c>
      <c r="N123" s="69">
        <f t="shared" si="15"/>
        <v>2.1944999999999997</v>
      </c>
    </row>
    <row r="124" spans="1:19" s="33" customFormat="1" hidden="1" x14ac:dyDescent="0.25">
      <c r="A124" s="2">
        <v>107</v>
      </c>
      <c r="B124" s="71" t="s">
        <v>140</v>
      </c>
      <c r="C124" s="72" t="s">
        <v>132</v>
      </c>
      <c r="D124" s="11">
        <v>0</v>
      </c>
      <c r="E124" s="12">
        <v>1</v>
      </c>
      <c r="F124" s="11">
        <f>D124*E124</f>
        <v>0</v>
      </c>
      <c r="G124" s="12">
        <v>3.84</v>
      </c>
      <c r="H124" s="12">
        <v>0</v>
      </c>
      <c r="I124" s="67">
        <f>H124/F13/12</f>
        <v>0</v>
      </c>
      <c r="J124" s="68"/>
      <c r="K124" s="68"/>
      <c r="L124" s="68"/>
      <c r="M124" s="12">
        <v>3.66</v>
      </c>
      <c r="N124" s="69">
        <f t="shared" si="15"/>
        <v>3.843</v>
      </c>
    </row>
    <row r="125" spans="1:19" s="80" customFormat="1" x14ac:dyDescent="0.25">
      <c r="A125" s="2">
        <v>108</v>
      </c>
      <c r="B125" s="101" t="s">
        <v>40</v>
      </c>
      <c r="C125" s="59"/>
      <c r="D125" s="13"/>
      <c r="E125" s="13"/>
      <c r="F125" s="13"/>
      <c r="G125" s="5"/>
      <c r="H125" s="7">
        <f>SUM(H110:H124)</f>
        <v>599457.73800000013</v>
      </c>
      <c r="I125" s="7">
        <f>SUM(I110:I124)</f>
        <v>4.4917332643977881</v>
      </c>
      <c r="J125" s="21">
        <v>4.9400000000000004</v>
      </c>
      <c r="K125" s="21">
        <f>J125-I125</f>
        <v>0.44826673560221231</v>
      </c>
      <c r="L125" s="21"/>
      <c r="M125" s="5"/>
      <c r="N125" s="69">
        <f t="shared" si="15"/>
        <v>0</v>
      </c>
    </row>
    <row r="126" spans="1:19" s="33" customFormat="1" ht="18" customHeight="1" x14ac:dyDescent="0.25">
      <c r="A126" s="2">
        <v>109</v>
      </c>
      <c r="B126" s="14" t="s">
        <v>141</v>
      </c>
      <c r="C126" s="59"/>
      <c r="D126" s="13"/>
      <c r="E126" s="13"/>
      <c r="F126" s="13"/>
      <c r="G126" s="12"/>
      <c r="H126" s="7">
        <f>H38+H53+H64+H108+H125</f>
        <v>1753941.5925144004</v>
      </c>
      <c r="I126" s="7">
        <f>I38+I53+I64+I108+I125</f>
        <v>13.318417423566967</v>
      </c>
      <c r="J126" s="21">
        <f>J38+J53+J64+J108+J125</f>
        <v>14.030000000000001</v>
      </c>
      <c r="K126" s="21">
        <f>J126-I126</f>
        <v>0.71158257643303457</v>
      </c>
      <c r="L126" s="21"/>
      <c r="M126" s="102"/>
      <c r="N126" s="103">
        <f t="shared" si="15"/>
        <v>0</v>
      </c>
    </row>
    <row r="127" spans="1:19" s="8" customFormat="1" ht="12.75" x14ac:dyDescent="0.2">
      <c r="A127" s="2">
        <v>110</v>
      </c>
      <c r="B127" s="3" t="s">
        <v>143</v>
      </c>
      <c r="C127" s="3"/>
      <c r="D127" s="4"/>
      <c r="E127" s="5"/>
      <c r="F127" s="6"/>
      <c r="G127" s="5"/>
      <c r="H127" s="7"/>
      <c r="I127" s="7"/>
      <c r="J127" s="104"/>
      <c r="K127" s="105" t="e">
        <f>J125-#REF!</f>
        <v>#REF!</v>
      </c>
      <c r="L127" s="106" t="s">
        <v>144</v>
      </c>
      <c r="M127" s="107"/>
      <c r="N127" s="108"/>
      <c r="R127" s="109"/>
      <c r="S127" s="110"/>
    </row>
    <row r="128" spans="1:19" s="8" customFormat="1" ht="12.75" hidden="1" x14ac:dyDescent="0.2">
      <c r="A128" s="2">
        <v>111</v>
      </c>
      <c r="B128" s="9" t="s">
        <v>145</v>
      </c>
      <c r="C128" s="10" t="s">
        <v>132</v>
      </c>
      <c r="D128" s="11"/>
      <c r="E128" s="9">
        <v>12</v>
      </c>
      <c r="F128" s="6">
        <f>E128*D128</f>
        <v>0</v>
      </c>
      <c r="G128" s="12">
        <v>0.33</v>
      </c>
      <c r="H128" s="12">
        <f>F128*G128</f>
        <v>0</v>
      </c>
      <c r="I128" s="12">
        <f>H128/8859.8/12</f>
        <v>0</v>
      </c>
      <c r="J128" s="104"/>
      <c r="K128" s="104"/>
      <c r="L128" s="104"/>
      <c r="M128" s="26"/>
      <c r="P128" s="111">
        <v>22.6</v>
      </c>
      <c r="Q128" s="111">
        <f>P128*5/100+P128</f>
        <v>23.73</v>
      </c>
      <c r="R128" s="109"/>
      <c r="S128" s="112">
        <f>124*23.73/8859.8</f>
        <v>0.33212036389083277</v>
      </c>
    </row>
    <row r="129" spans="1:245" s="8" customFormat="1" ht="12.75" hidden="1" x14ac:dyDescent="0.2">
      <c r="A129" s="2">
        <v>112</v>
      </c>
      <c r="B129" s="9" t="s">
        <v>121</v>
      </c>
      <c r="C129" s="10" t="s">
        <v>132</v>
      </c>
      <c r="D129" s="11">
        <f>D123</f>
        <v>11121.5</v>
      </c>
      <c r="E129" s="9"/>
      <c r="F129" s="6">
        <f>E129*D129</f>
        <v>0</v>
      </c>
      <c r="G129" s="12">
        <v>0.44</v>
      </c>
      <c r="H129" s="12">
        <f>F129*G129</f>
        <v>0</v>
      </c>
      <c r="I129" s="12">
        <f>H129/F13/12</f>
        <v>0</v>
      </c>
      <c r="J129" s="104"/>
      <c r="K129" s="104"/>
      <c r="L129" s="104"/>
      <c r="M129" s="26"/>
      <c r="P129" s="111">
        <v>25.09</v>
      </c>
      <c r="Q129" s="111">
        <f>P129*5/100+P129</f>
        <v>26.3445</v>
      </c>
      <c r="R129" s="109"/>
      <c r="S129" s="112">
        <f>119*26.34/8859.8</f>
        <v>0.35378450980834786</v>
      </c>
    </row>
    <row r="130" spans="1:245" s="8" customFormat="1" ht="12.75" x14ac:dyDescent="0.2">
      <c r="A130" s="2">
        <v>113</v>
      </c>
      <c r="B130" s="9" t="s">
        <v>146</v>
      </c>
      <c r="C130" s="10" t="s">
        <v>132</v>
      </c>
      <c r="D130" s="11">
        <f>D129</f>
        <v>11121.5</v>
      </c>
      <c r="E130" s="9">
        <v>12</v>
      </c>
      <c r="F130" s="6">
        <f t="shared" ref="F130:F133" si="19">E130*D130</f>
        <v>133458</v>
      </c>
      <c r="G130" s="12">
        <v>0.33</v>
      </c>
      <c r="H130" s="12">
        <f t="shared" ref="H130:H133" si="20">F130*G130</f>
        <v>44041.14</v>
      </c>
      <c r="I130" s="12">
        <f>H130/F13/12</f>
        <v>0.33</v>
      </c>
      <c r="J130" s="104"/>
      <c r="K130" s="104"/>
      <c r="L130" s="104"/>
      <c r="M130" s="26"/>
      <c r="P130" s="111">
        <v>18.809999999999999</v>
      </c>
      <c r="Q130" s="111">
        <f>P130*5/100+P130</f>
        <v>19.750499999999999</v>
      </c>
      <c r="R130" s="109"/>
      <c r="S130" s="112">
        <f>121*19.75/8859.8</f>
        <v>0.26972956500146733</v>
      </c>
    </row>
    <row r="131" spans="1:245" s="8" customFormat="1" ht="12.75" hidden="1" x14ac:dyDescent="0.2">
      <c r="A131" s="2">
        <v>114</v>
      </c>
      <c r="B131" s="9" t="s">
        <v>147</v>
      </c>
      <c r="C131" s="10" t="s">
        <v>132</v>
      </c>
      <c r="D131" s="11">
        <f>D130</f>
        <v>11121.5</v>
      </c>
      <c r="E131" s="9"/>
      <c r="F131" s="6">
        <f t="shared" si="19"/>
        <v>0</v>
      </c>
      <c r="G131" s="12">
        <v>0.74</v>
      </c>
      <c r="H131" s="12">
        <f t="shared" si="20"/>
        <v>0</v>
      </c>
      <c r="I131" s="12">
        <f>H131/F13/12</f>
        <v>0</v>
      </c>
      <c r="J131" s="104"/>
      <c r="K131" s="104"/>
      <c r="L131" s="104"/>
      <c r="M131" s="26"/>
      <c r="P131" s="111">
        <v>5142.91</v>
      </c>
      <c r="Q131" s="111">
        <f>P131*5/100+P131</f>
        <v>5400.0554999999995</v>
      </c>
      <c r="R131" s="109"/>
      <c r="S131" s="112">
        <f>2*5400.06/8859.8</f>
        <v>1.2190026862908871</v>
      </c>
    </row>
    <row r="132" spans="1:245" s="8" customFormat="1" ht="12.75" hidden="1" x14ac:dyDescent="0.2">
      <c r="A132" s="2">
        <v>115</v>
      </c>
      <c r="B132" s="9" t="s">
        <v>148</v>
      </c>
      <c r="C132" s="10" t="s">
        <v>132</v>
      </c>
      <c r="D132" s="11">
        <v>8859.7999999999993</v>
      </c>
      <c r="E132" s="9">
        <v>12</v>
      </c>
      <c r="F132" s="6">
        <f t="shared" si="19"/>
        <v>106317.59999999999</v>
      </c>
      <c r="G132" s="12"/>
      <c r="H132" s="12">
        <f t="shared" si="20"/>
        <v>0</v>
      </c>
      <c r="I132" s="12">
        <f>H132/8859.8/12</f>
        <v>0</v>
      </c>
      <c r="J132" s="104"/>
      <c r="K132" s="104"/>
      <c r="L132" s="104"/>
      <c r="M132" s="26"/>
      <c r="P132" s="111">
        <v>100</v>
      </c>
      <c r="Q132" s="111">
        <f>P132*5/100+P132</f>
        <v>105</v>
      </c>
      <c r="R132" s="109"/>
      <c r="S132" s="112">
        <f>124*105/8859.8</f>
        <v>1.4695591322603221</v>
      </c>
    </row>
    <row r="133" spans="1:245" s="8" customFormat="1" ht="12.75" x14ac:dyDescent="0.2">
      <c r="A133" s="2">
        <v>116</v>
      </c>
      <c r="B133" s="101" t="s">
        <v>156</v>
      </c>
      <c r="C133" s="10" t="s">
        <v>132</v>
      </c>
      <c r="D133" s="11">
        <f>D131</f>
        <v>11121.5</v>
      </c>
      <c r="E133" s="113">
        <v>12</v>
      </c>
      <c r="F133" s="6">
        <f t="shared" si="19"/>
        <v>133458</v>
      </c>
      <c r="G133" s="12">
        <v>1.35</v>
      </c>
      <c r="H133" s="12">
        <f t="shared" si="20"/>
        <v>180168.30000000002</v>
      </c>
      <c r="I133" s="12">
        <f>H133/D133/12</f>
        <v>1.3500000000000003</v>
      </c>
      <c r="J133" s="22">
        <f>I128+I129+I130+I131+I132</f>
        <v>0.33</v>
      </c>
      <c r="K133" s="22"/>
      <c r="L133" s="22"/>
      <c r="M133" s="26"/>
      <c r="R133" s="109"/>
      <c r="S133" s="110"/>
    </row>
    <row r="134" spans="1:245" s="25" customFormat="1" ht="12.75" x14ac:dyDescent="0.2">
      <c r="A134" s="2">
        <v>117</v>
      </c>
      <c r="B134" s="101" t="s">
        <v>40</v>
      </c>
      <c r="C134" s="3"/>
      <c r="D134" s="4"/>
      <c r="E134" s="13"/>
      <c r="F134" s="24"/>
      <c r="G134" s="5"/>
      <c r="H134" s="5">
        <f>SUM(H129:H133)</f>
        <v>224209.44</v>
      </c>
      <c r="I134" s="5">
        <f>SUM(I129:I133)</f>
        <v>1.6800000000000004</v>
      </c>
      <c r="J134" s="22"/>
      <c r="K134" s="22"/>
      <c r="L134" s="22"/>
      <c r="M134" s="26"/>
      <c r="R134" s="114"/>
      <c r="S134" s="115"/>
    </row>
    <row r="135" spans="1:245" s="8" customFormat="1" ht="12.75" x14ac:dyDescent="0.2">
      <c r="A135" s="2">
        <v>118</v>
      </c>
      <c r="B135" s="15" t="s">
        <v>141</v>
      </c>
      <c r="C135" s="13"/>
      <c r="D135" s="13"/>
      <c r="E135" s="13"/>
      <c r="F135" s="13"/>
      <c r="G135" s="12"/>
      <c r="H135" s="7">
        <f>H126+H134</f>
        <v>1978151.0325144003</v>
      </c>
      <c r="I135" s="7">
        <f>I126+I134</f>
        <v>14.998417423566966</v>
      </c>
      <c r="J135" s="21">
        <f>J126+J133</f>
        <v>14.360000000000001</v>
      </c>
      <c r="K135" s="21"/>
      <c r="L135" s="21">
        <f t="shared" ref="L135:AM135" si="21">L126+L133</f>
        <v>0</v>
      </c>
      <c r="M135" s="21">
        <f t="shared" si="21"/>
        <v>0</v>
      </c>
      <c r="N135" s="21">
        <f t="shared" si="21"/>
        <v>0</v>
      </c>
      <c r="O135" s="21">
        <f t="shared" si="21"/>
        <v>0</v>
      </c>
      <c r="P135" s="21">
        <f t="shared" si="21"/>
        <v>0</v>
      </c>
      <c r="Q135" s="21">
        <f t="shared" si="21"/>
        <v>0</v>
      </c>
      <c r="R135" s="21">
        <f t="shared" si="21"/>
        <v>0</v>
      </c>
      <c r="S135" s="21">
        <f t="shared" si="21"/>
        <v>0</v>
      </c>
      <c r="T135" s="21">
        <f t="shared" si="21"/>
        <v>0</v>
      </c>
      <c r="U135" s="21">
        <f t="shared" si="21"/>
        <v>0</v>
      </c>
      <c r="V135" s="21">
        <f t="shared" si="21"/>
        <v>0</v>
      </c>
      <c r="W135" s="21">
        <f t="shared" si="21"/>
        <v>0</v>
      </c>
      <c r="X135" s="21">
        <f t="shared" si="21"/>
        <v>0</v>
      </c>
      <c r="Y135" s="21">
        <f t="shared" si="21"/>
        <v>0</v>
      </c>
      <c r="Z135" s="21">
        <f t="shared" si="21"/>
        <v>0</v>
      </c>
      <c r="AA135" s="21">
        <f t="shared" si="21"/>
        <v>0</v>
      </c>
      <c r="AB135" s="21">
        <f t="shared" si="21"/>
        <v>0</v>
      </c>
      <c r="AC135" s="21">
        <f t="shared" si="21"/>
        <v>0</v>
      </c>
      <c r="AD135" s="21">
        <f t="shared" si="21"/>
        <v>0</v>
      </c>
      <c r="AE135" s="21">
        <f t="shared" si="21"/>
        <v>0</v>
      </c>
      <c r="AF135" s="21">
        <f t="shared" si="21"/>
        <v>0</v>
      </c>
      <c r="AG135" s="21">
        <f t="shared" si="21"/>
        <v>0</v>
      </c>
      <c r="AH135" s="21">
        <f t="shared" si="21"/>
        <v>0</v>
      </c>
      <c r="AI135" s="21">
        <f t="shared" si="21"/>
        <v>0</v>
      </c>
      <c r="AJ135" s="21">
        <f t="shared" si="21"/>
        <v>0</v>
      </c>
      <c r="AK135" s="21">
        <f t="shared" si="21"/>
        <v>0</v>
      </c>
      <c r="AL135" s="21">
        <f t="shared" si="21"/>
        <v>0</v>
      </c>
      <c r="AM135" s="21">
        <f t="shared" si="21"/>
        <v>0</v>
      </c>
    </row>
    <row r="136" spans="1:245" s="8" customFormat="1" ht="24" customHeight="1" x14ac:dyDescent="0.2">
      <c r="A136" s="16"/>
      <c r="D136" s="17"/>
      <c r="E136" s="17"/>
      <c r="F136" s="17"/>
      <c r="H136" s="17"/>
      <c r="I136" s="17"/>
      <c r="J136" s="104"/>
      <c r="K136" s="104"/>
      <c r="L136" s="104"/>
      <c r="M136" s="26"/>
      <c r="R136" s="109"/>
      <c r="S136" s="110"/>
    </row>
    <row r="137" spans="1:245" s="116" customFormat="1" ht="15.75" customHeight="1" x14ac:dyDescent="0.25">
      <c r="A137" s="26" t="s">
        <v>149</v>
      </c>
      <c r="B137" s="27"/>
      <c r="C137" s="25"/>
      <c r="D137" s="25"/>
      <c r="E137" s="25"/>
      <c r="F137" s="25"/>
      <c r="G137" s="25"/>
      <c r="H137" s="25"/>
      <c r="IJ137" s="117"/>
      <c r="IK137" s="117"/>
    </row>
    <row r="138" spans="1:245" s="118" customFormat="1" ht="14.25" x14ac:dyDescent="0.2">
      <c r="A138" s="25" t="s">
        <v>150</v>
      </c>
      <c r="B138" s="27"/>
      <c r="C138" s="25"/>
      <c r="D138" s="25"/>
      <c r="E138" s="25"/>
      <c r="F138" s="25"/>
      <c r="G138" s="25"/>
      <c r="H138" s="28"/>
      <c r="I138" s="18">
        <v>6.36</v>
      </c>
      <c r="J138" s="25"/>
      <c r="K138" s="25">
        <f>5.14+0.05+0.44+0.74</f>
        <v>6.37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</row>
    <row r="139" spans="1:245" s="118" customFormat="1" ht="14.25" x14ac:dyDescent="0.2">
      <c r="A139" s="29" t="s">
        <v>151</v>
      </c>
      <c r="B139" s="27"/>
      <c r="C139" s="25"/>
      <c r="D139" s="25"/>
      <c r="E139" s="25"/>
      <c r="F139" s="25"/>
      <c r="G139" s="25"/>
      <c r="H139" s="25"/>
      <c r="I139" s="18">
        <v>3.64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</row>
    <row r="140" spans="1:245" s="119" customFormat="1" ht="12.75" x14ac:dyDescent="0.2">
      <c r="A140" s="8"/>
      <c r="B140" s="19"/>
      <c r="C140" s="8"/>
      <c r="D140" s="8"/>
      <c r="E140" s="8"/>
      <c r="F140" s="8"/>
      <c r="G140" s="8"/>
      <c r="H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</row>
    <row r="141" spans="1:245" s="119" customFormat="1" ht="15.75" x14ac:dyDescent="0.25">
      <c r="A141" s="30" t="s">
        <v>152</v>
      </c>
      <c r="B141" s="27"/>
      <c r="C141" s="31"/>
      <c r="D141" s="31"/>
      <c r="E141" s="31"/>
      <c r="F141" s="31"/>
      <c r="G141" s="31"/>
      <c r="H141" s="30"/>
      <c r="I141" s="20">
        <f>I135+I138+I139</f>
        <v>24.998417423566966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</row>
    <row r="143" spans="1:245" ht="18.75" customHeight="1" x14ac:dyDescent="0.25">
      <c r="B143" s="123" t="s">
        <v>157</v>
      </c>
    </row>
    <row r="144" spans="1:245" x14ac:dyDescent="0.25">
      <c r="B144" s="123" t="s">
        <v>158</v>
      </c>
    </row>
    <row r="145" spans="2:2" x14ac:dyDescent="0.25">
      <c r="B145" s="123" t="s">
        <v>159</v>
      </c>
    </row>
    <row r="146" spans="2:2" ht="20.25" customHeight="1" x14ac:dyDescent="0.25">
      <c r="B146" s="123" t="s">
        <v>160</v>
      </c>
    </row>
  </sheetData>
  <sheetProtection selectLockedCells="1" selectUnlockedCells="1"/>
  <mergeCells count="16">
    <mergeCell ref="A5:I5"/>
    <mergeCell ref="A7:I7"/>
    <mergeCell ref="A8:I8"/>
    <mergeCell ref="A9:I9"/>
    <mergeCell ref="C10:E10"/>
    <mergeCell ref="F10:I10"/>
    <mergeCell ref="A10:B14"/>
    <mergeCell ref="C11:E11"/>
    <mergeCell ref="F11:I11"/>
    <mergeCell ref="C12:E12"/>
    <mergeCell ref="F12:I12"/>
    <mergeCell ref="B15:I15"/>
    <mergeCell ref="C13:E13"/>
    <mergeCell ref="F13:I13"/>
    <mergeCell ref="C14:E14"/>
    <mergeCell ref="F14:I14"/>
  </mergeCells>
  <pageMargins left="0.39370078740157483" right="0.19685039370078741" top="0.59055118110236227" bottom="0.59055118110236227" header="0.51181102362204722" footer="0.51181102362204722"/>
  <pageSetup paperSize="9" scale="72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Тюляева 8</vt:lpstr>
      <vt:lpstr>'Тюляева 8'!Заголовки_для_печати</vt:lpstr>
      <vt:lpstr>'Тюляева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GlavIng</dc:creator>
  <cp:lastModifiedBy>DuginDenis</cp:lastModifiedBy>
  <cp:lastPrinted>2019-11-25T12:23:37Z</cp:lastPrinted>
  <dcterms:created xsi:type="dcterms:W3CDTF">2018-01-05T08:24:04Z</dcterms:created>
  <dcterms:modified xsi:type="dcterms:W3CDTF">2020-05-15T11:07:58Z</dcterms:modified>
</cp:coreProperties>
</file>